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9" activeTab="0"/>
  </bookViews>
  <sheets>
    <sheet name="Equipment" sheetId="1" r:id="rId1"/>
    <sheet name="Visual" sheetId="2" r:id="rId2"/>
    <sheet name="Imaging" sheetId="3" r:id="rId3"/>
    <sheet name="PHD Adviser" sheetId="4" r:id="rId4"/>
  </sheets>
  <definedNames>
    <definedName name="_xlfnodf.ISFORMULA" hidden="1">#NAME?</definedName>
  </definedNames>
  <calcPr fullCalcOnLoad="1"/>
</workbook>
</file>

<file path=xl/sharedStrings.xml><?xml version="1.0" encoding="utf-8"?>
<sst xmlns="http://schemas.openxmlformats.org/spreadsheetml/2006/main" count="374" uniqueCount="299">
  <si>
    <t>Astro-Calc</t>
  </si>
  <si>
    <t>Spreadsheet for Visual Astronomy and Astro-Photography</t>
  </si>
  <si>
    <t>Copyright © 2012, Greg Marshall, Wa-chur-ed Observatory (www.wa-chur-ed.com)</t>
  </si>
  <si>
    <t>Your Astronomy Equipment</t>
  </si>
  <si>
    <t>Telescopes:</t>
  </si>
  <si>
    <t>#1</t>
  </si>
  <si>
    <t>#2</t>
  </si>
  <si>
    <t>#3</t>
  </si>
  <si>
    <t>#4</t>
  </si>
  <si>
    <t>Formulas</t>
  </si>
  <si>
    <t>Transmission Calculator:</t>
  </si>
  <si>
    <t>Enter the individual transmission/reflection</t>
  </si>
  <si>
    <t>Name</t>
  </si>
  <si>
    <t xml:space="preserve">   factors (0 to 1) for up to 6 surfaces in 4 parts. Unused values must be “1”.</t>
  </si>
  <si>
    <t>Type (R/N/C/O)</t>
  </si>
  <si>
    <t>Part 1</t>
  </si>
  <si>
    <t>Part 2</t>
  </si>
  <si>
    <t>Part 3</t>
  </si>
  <si>
    <t>Part 4</t>
  </si>
  <si>
    <t>Aperture (mm)</t>
  </si>
  <si>
    <t>Surface 1</t>
  </si>
  <si>
    <t>Focal Ratio</t>
  </si>
  <si>
    <t>Surface 2</t>
  </si>
  <si>
    <t>Focal Length (mm)</t>
  </si>
  <si>
    <t>Surface 3</t>
  </si>
  <si>
    <t>Transmission Factor</t>
  </si>
  <si>
    <t>Surface 4</t>
  </si>
  <si>
    <t>Resolution (arcsec)</t>
  </si>
  <si>
    <t>Surface 5</t>
  </si>
  <si>
    <t>Spot Size (microns)</t>
  </si>
  <si>
    <t>Surface 6</t>
  </si>
  <si>
    <t>Limiting Magnitude</t>
  </si>
  <si>
    <t>Part Total:</t>
  </si>
  <si>
    <t xml:space="preserve">     Total Transmission Factor:</t>
  </si>
  <si>
    <t>How to Use:</t>
  </si>
  <si>
    <t>For each telescope, enter name and type.  Type is “R” for refractor, “N” for newtonian, “C” for cassegrain, or “O” for other.</t>
  </si>
  <si>
    <t>Enter the aperture in millimeters</t>
  </si>
  <si>
    <t>Edit either “Focal Ratio” or “Focal Length” (in millimeters) to correct value. The other value will then be calculated.</t>
  </si>
  <si>
    <t>Enter a value between 0 and 1 for the transmission factor.  This represents the amount of light transmitted through a lens or reflected off mirrors.</t>
  </si>
  <si>
    <t xml:space="preserve">   Include all elements of the telescope, but not eyepieces.  Leave at “1” to ignore.  Use table at upper right to compute transmission.</t>
  </si>
  <si>
    <t>Also calculated is the angular resolution, spot size, and limiting magnitude. Do not edit these values.</t>
  </si>
  <si>
    <t>Eyepieces:</t>
  </si>
  <si>
    <t>#5</t>
  </si>
  <si>
    <t>#6</t>
  </si>
  <si>
    <t>#7</t>
  </si>
  <si>
    <t>#8</t>
  </si>
  <si>
    <t>#9</t>
  </si>
  <si>
    <t>#10</t>
  </si>
  <si>
    <t>AFOV (degrees)</t>
  </si>
  <si>
    <t>For each eyepiece, enter the name, focal length (in millimeters), and the apparent field of view (in degrees). If AFOV is unknown, use table below.</t>
  </si>
  <si>
    <t>If desired, the transmission factor can also be entered. To ignore transmission, leave this field at “1”.</t>
  </si>
  <si>
    <t>Type</t>
  </si>
  <si>
    <t>AFOV (deg.)</t>
  </si>
  <si>
    <t>Comment</t>
  </si>
  <si>
    <t>Kellner</t>
  </si>
  <si>
    <t>At f/10 – not recommended for fast telescopes</t>
  </si>
  <si>
    <t>Orthoscopic</t>
  </si>
  <si>
    <t>Plossl</t>
  </si>
  <si>
    <t>Most common type – use this if type is unknown</t>
  </si>
  <si>
    <t>Erfle/Radian</t>
  </si>
  <si>
    <t>Panoptic</t>
  </si>
  <si>
    <t>This type includes a variety of wide-field eyepieces typically specified as 68 or 70 degrees AFOV</t>
  </si>
  <si>
    <t>Nagler</t>
  </si>
  <si>
    <t>Ethos</t>
  </si>
  <si>
    <t>Cameras:</t>
  </si>
  <si>
    <t>H. Pixel Count</t>
  </si>
  <si>
    <t>V. Pixel Count</t>
  </si>
  <si>
    <t>H. Width (mm)</t>
  </si>
  <si>
    <t>V. Height (mm)</t>
  </si>
  <si>
    <t>H. Pixel Size (microns)</t>
  </si>
  <si>
    <t>V. Pixel Size (microns)</t>
  </si>
  <si>
    <t xml:space="preserve">For each camera, enter the name and any 2 of the “H” (horizontal) and “V” (vertical) parameters. </t>
  </si>
  <si>
    <t xml:space="preserve">   The 3rd parameter will be calculated.</t>
  </si>
  <si>
    <t>Width and height are in millimeters and pixel size is in microns (1 micron = 0.001 millimeter)</t>
  </si>
  <si>
    <t>Observer:</t>
  </si>
  <si>
    <t>Max pupil dia. (mm)</t>
  </si>
  <si>
    <t>Enter the maximum size of your eye's pupil.  If unknown, use the table below:</t>
  </si>
  <si>
    <t>Age</t>
  </si>
  <si>
    <t>Max pupil diameter</t>
  </si>
  <si>
    <t>&lt;25</t>
  </si>
  <si>
    <t>Misc. Parameters:</t>
  </si>
  <si>
    <t>Defaults</t>
  </si>
  <si>
    <t>Peak Wavelength (nm)</t>
  </si>
  <si>
    <t>Best seeing (arcsec)</t>
  </si>
  <si>
    <t>Typical seeing (arcsec)</t>
  </si>
  <si>
    <t>Naked-eye Lim. Mag.</t>
  </si>
  <si>
    <t>Abs. Min. Exit Pupil (mm)</t>
  </si>
  <si>
    <t>Min. Exit Pupil, Opt. (mm)</t>
  </si>
  <si>
    <t>Max. Exit Pupil, Opt. (mm)</t>
  </si>
  <si>
    <t>If you are unsure of any parameter, use the default value.</t>
  </si>
  <si>
    <t>Peak Wavelength (nm):</t>
  </si>
  <si>
    <t>Wavelength of light used in calculations. 510 is best for visual use.</t>
  </si>
  <si>
    <t>Best seeing (arcsec):</t>
  </si>
  <si>
    <t>Enter the FWHM of seeing disc under best conditions at your site.</t>
  </si>
  <si>
    <t>Typical seeing (arcsec):</t>
  </si>
  <si>
    <t>Enter the FWHM of seeing disc under typical/average conditions at your site.</t>
  </si>
  <si>
    <t>Naked-eye Lim. Mag.:</t>
  </si>
  <si>
    <t>Enter the limiting magnitude for the given observer and site.</t>
  </si>
  <si>
    <t>Abs. Min. Exit Pupil (mm):</t>
  </si>
  <si>
    <t>Enter the absolute minimum exit pupil diameter you want to allow, considering best seeing and observer's eye health.</t>
  </si>
  <si>
    <t>Min. Exit Pupil, Opt. (mm):</t>
  </si>
  <si>
    <t>Enter the minimum exit pupil diameter for optimal viewing.</t>
  </si>
  <si>
    <t>Max. Exit Pupil, Opt. (mm):</t>
  </si>
  <si>
    <t>Enter the maximum exit pupil diameter for optimal viewing.</t>
  </si>
  <si>
    <t>Visual Astronomy Calculators</t>
  </si>
  <si>
    <t>Telescope #:</t>
  </si>
  <si>
    <t>Scope Name:</t>
  </si>
  <si>
    <t>Aperture:</t>
  </si>
  <si>
    <t xml:space="preserve">1: </t>
  </si>
  <si>
    <t xml:space="preserve">2: </t>
  </si>
  <si>
    <t xml:space="preserve">3: </t>
  </si>
  <si>
    <t xml:space="preserve">4: </t>
  </si>
  <si>
    <t>Which telescope are you using?</t>
  </si>
  <si>
    <t>Telescope:</t>
  </si>
  <si>
    <t>Eyepiece #</t>
  </si>
  <si>
    <t>Eyepiece Name</t>
  </si>
  <si>
    <t>EP Focal Len.</t>
  </si>
  <si>
    <t>Mag.</t>
  </si>
  <si>
    <t>FOV (deg)</t>
  </si>
  <si>
    <t>Exit Pupil (mm)</t>
  </si>
  <si>
    <t>Lim. Mag.</t>
  </si>
  <si>
    <t>OK for best conditions?</t>
  </si>
  <si>
    <t>Optimal for typical use?</t>
  </si>
  <si>
    <t>Note: Ignore error messages in calculated (green) fields for undefined eyepieces.  Other errors may be caused by incomplete entry of telescope parameters.</t>
  </si>
  <si>
    <t>Astro-Photography Calculators</t>
  </si>
  <si>
    <t>Camera #:</t>
  </si>
  <si>
    <t>Name:</t>
  </si>
  <si>
    <t>Which camera are you using?</t>
  </si>
  <si>
    <t>Selected Combination:</t>
  </si>
  <si>
    <t xml:space="preserve">Camera: </t>
  </si>
  <si>
    <t>Field of View (H):</t>
  </si>
  <si>
    <t>degrees</t>
  </si>
  <si>
    <t>deg:min</t>
  </si>
  <si>
    <t>Field of View (V):</t>
  </si>
  <si>
    <t>Image Scale (H):</t>
  </si>
  <si>
    <t>arcsec per pixel</t>
  </si>
  <si>
    <t>Image Scale (V):</t>
  </si>
  <si>
    <t>Sampling Factors:</t>
  </si>
  <si>
    <t>Theoretical Spot:</t>
  </si>
  <si>
    <t>pixels</t>
  </si>
  <si>
    <t>Best Seeing:</t>
  </si>
  <si>
    <t>Typical Seeing:</t>
  </si>
  <si>
    <t>Theoretical Spot  is the number of pixels covering the width of the theoretical “airy disc” under perfect conditions.</t>
  </si>
  <si>
    <t>Best Seeing is the number of pixels covering the width of the spot created by your best seeing with ideal optics.</t>
  </si>
  <si>
    <t>Typical Seeing is the number of pixels covering the width of the spot created by your typical seeing with ideal optics.</t>
  </si>
  <si>
    <t>TIP:</t>
  </si>
  <si>
    <t xml:space="preserve">The sampling factor should be greater than 1 (at least 1 pixel per “spot”).  If the telescope/camera combination you want to use </t>
  </si>
  <si>
    <t xml:space="preserve">   is less than 1, consider using a different scope or camera.</t>
  </si>
  <si>
    <t>Sampling factors much greater than 2 indicate that the camera's resolution is wasted.  Consider using binning.</t>
  </si>
  <si>
    <t>The effective sampling factor is the greater of the “theoretical” (first number) and the relevant value for seeing conditions.</t>
  </si>
  <si>
    <t xml:space="preserve">   For example, say that the theoretical factor is 1.5, typical seeing factor is 1.8, and best seeing is 1.2.  In this case,</t>
  </si>
  <si>
    <t xml:space="preserve">   under best seeing the sampling is limited by theoretical spot size, but under typical seeing it is limited by the seeing.</t>
  </si>
  <si>
    <t>PHD Guiding Adviser</t>
  </si>
  <si>
    <t>This sheet contains a variety of calculators and tools to help you in selecting parameters for the popular auto-guiding</t>
  </si>
  <si>
    <t>program “PHD Guiding”.  As much as possible/practical, it makes use of the actual characteristics of your equipment as</t>
  </si>
  <si>
    <t>entered on the “Equipment” sheet, but some additional information is also needed and some of it is subjective.  First,</t>
  </si>
  <si>
    <t>select the telescope and camera that will be used for guiding:</t>
  </si>
  <si>
    <r>
      <t xml:space="preserve">TIP:  </t>
    </r>
    <r>
      <rPr>
        <sz val="10"/>
        <rFont val="Arial"/>
        <family val="2"/>
      </rPr>
      <t>This sheet includes wordy instructions that will (hopefully) be helpful when you first start using it.  When you</t>
    </r>
  </si>
  <si>
    <t xml:space="preserve">        have become familiar with it you can hide the explanation rows so that you can get to the calculators quickly.</t>
  </si>
  <si>
    <t>Aperture</t>
  </si>
  <si>
    <t>Which scope are you using for guiding?</t>
  </si>
  <si>
    <t>Which cam. are you using for guiding?</t>
  </si>
  <si>
    <t>Now on to the trickier parameters:</t>
  </si>
  <si>
    <t>What “guide rate” is your mount set to use?</t>
  </si>
  <si>
    <t>Note that guide rates are given in several different formats. What should be entered here is a number greater than</t>
  </si>
  <si>
    <t>zero and no more than 1.  This number represents the factor of sidereal rate that is applied to speed up or slow down</t>
  </si>
  <si>
    <t>the normal tracking rate (the same speed is also applied to the DEC axis, if used).  The default value is 1.</t>
  </si>
  <si>
    <t>How good is your mount's periodic error (PE)?</t>
  </si>
  <si>
    <t>Periodic error is usually the largest source of positional error in astro-photography.  The peak-to-peak (unguided)</t>
  </si>
  <si>
    <t>error is usually a good indicator of quality, although the maximum rate of change in tracking rate is actually the</t>
  </si>
  <si>
    <t>important characteristic – it's just harder to measure.  A simpler definition, albeit VERY crude, is to simply use</t>
  </si>
  <si>
    <t xml:space="preserve">the cost of your mount (when new).  Enter “0” for an excellent mount, “1” for average, and “2” for poor.  If desired, </t>
  </si>
  <si>
    <t>use the table below to select a value.</t>
  </si>
  <si>
    <t>P-P Error</t>
  </si>
  <si>
    <t>Rate of chg.</t>
  </si>
  <si>
    <t>Typical Cost</t>
  </si>
  <si>
    <t>Quality</t>
  </si>
  <si>
    <t>Score</t>
  </si>
  <si>
    <t>&lt;10 arcsec</t>
  </si>
  <si>
    <t>Low</t>
  </si>
  <si>
    <t>&gt;$3000</t>
  </si>
  <si>
    <t>Excellent</t>
  </si>
  <si>
    <t>10-30 arcsec</t>
  </si>
  <si>
    <t>Moderate</t>
  </si>
  <si>
    <t>$1000-3000</t>
  </si>
  <si>
    <t>&gt;30 arcsec</t>
  </si>
  <si>
    <t>High</t>
  </si>
  <si>
    <t>&lt;$1000</t>
  </si>
  <si>
    <t>Poor</t>
  </si>
  <si>
    <t>Seeing (atmospheric disturbance) is the “ultimate” limiting factor for most imagers.  When tracking/guiding is</t>
  </si>
  <si>
    <t xml:space="preserve">excellent and focus is perfect, image quality will be limited in most cases by seeing.  Seeing also enters </t>
  </si>
  <si>
    <t>into guiding parameters because the guiding system cannot distinguish between tracking errors and seeing</t>
  </si>
  <si>
    <t>effects.  However, if we know what the level of seeing is we can adjust guiding parameters to get the best possible</t>
  </si>
  <si>
    <t>guiding performance under the circumstances.  In this spreadsheet seeing is specified as FWHM.  That is, the</t>
  </si>
  <si>
    <t>effect that seeing has on the “size” of a star.  A precise measurement of seeing is a very complicated process.</t>
  </si>
  <si>
    <t>Fortunately, we only need a rough, subjective measure of seeing using a “0/1/2/3” scale similar to that for mount</t>
  </si>
  <si>
    <t>quality.  If you are experienced with judging seeing by visual observation, simply select a number from the</t>
  </si>
  <si>
    <t>table below.  Otherwise, you can “measure” the seeing by entering a FWHM  measurement from your image</t>
  </si>
  <si>
    <t>capture software.  Ideally, this will be from an exposure that is long enough to get a good average of seeing effects</t>
  </si>
  <si>
    <t>(say 10 seconds) and with best possible focus and tracking.  Tracking errors can be brought to virtually zero</t>
  </si>
  <si>
    <t>simply by using a star near the celestial pole (e.g., in the northern hemisphere, Polaris).  However, some</t>
  </si>
  <si>
    <t>intermediate calculations may be needed.  First, if your capture software only gives you the FWHM in pixels,</t>
  </si>
  <si>
    <t>use this calculator to convert it to arcseconds:</t>
  </si>
  <si>
    <t>Pixel/Arcsec Converter:</t>
  </si>
  <si>
    <t>Use this calculator to convert pixel-based measurements to arcseconds.</t>
  </si>
  <si>
    <t>Pixel FWHM:</t>
  </si>
  <si>
    <t xml:space="preserve">Enter the FWHM in pixels here. </t>
  </si>
  <si>
    <t>Arcsec FWHM:</t>
  </si>
  <si>
    <t>arcseconds</t>
  </si>
  <si>
    <t xml:space="preserve">If you want to make a more precise measurement (of Polaris, for example), enter multiple FWHM readings below, </t>
  </si>
  <si>
    <t>then enter the elevations (above horizon) of the measured star and the target area:</t>
  </si>
  <si>
    <t>Raw FWHM measure:</t>
  </si>
  <si>
    <t>Average FWHM:</t>
  </si>
  <si>
    <t>Elevation of Measure:</t>
  </si>
  <si>
    <t>Seeing at Measure:</t>
  </si>
  <si>
    <t>Elevation of Target:</t>
  </si>
  <si>
    <t>Seeing at Target:</t>
  </si>
  <si>
    <t>Note that the “seeing” estimate calculated above may not coincide well with your experience in visual gauging of</t>
  </si>
  <si>
    <t>seeing, especially when seeing is very good.  That's OK – this is just a number to be used in the next table:</t>
  </si>
  <si>
    <t>Note: FWHM values in arcseconds can be entered from either the guide scope/camera or the imaging scope/camera.</t>
  </si>
  <si>
    <t>However, the pixel to arcsecond converter above uses the image scale value for the guide scope/camera selected</t>
  </si>
  <si>
    <t>at the top of this sheet.</t>
  </si>
  <si>
    <t>Seeing Descr.</t>
  </si>
  <si>
    <t>Measure</t>
  </si>
  <si>
    <t>&lt;1</t>
  </si>
  <si>
    <t>Good</t>
  </si>
  <si>
    <t>1 to 2</t>
  </si>
  <si>
    <t>Typical</t>
  </si>
  <si>
    <t>2 to 4</t>
  </si>
  <si>
    <t>&gt;4</t>
  </si>
  <si>
    <t>Enter Seeing Score:</t>
  </si>
  <si>
    <t>(0 to 3)</t>
  </si>
  <si>
    <t>One more bit of information:</t>
  </si>
  <si>
    <t>Enter approximate DEC angle of target:</t>
  </si>
  <si>
    <t>Now we're ready to recommend some PHD Guiding parameters.  First, set parameters in the “brain” as follows:</t>
  </si>
  <si>
    <t>RA Aggressiveness:</t>
  </si>
  <si>
    <t>RA Hysteresis:</t>
  </si>
  <si>
    <t>Min. Motion:</t>
  </si>
  <si>
    <t>Percentage of pixel size to correct for</t>
  </si>
  <si>
    <t>Cal. Step Size:</t>
  </si>
  <si>
    <t>milliseconds</t>
  </si>
  <si>
    <t>Percentage of image size to move in calibration</t>
  </si>
  <si>
    <t>Noise Reduction:</t>
  </si>
  <si>
    <t>Note: This requires that a valid seeing calculation is present at B81 above.</t>
  </si>
  <si>
    <t>In general, the other parameters can be left at their default values.  Consult the “Guide to Guiding” paper for more info.</t>
  </si>
  <si>
    <t>Note: Calibration step size cannot be calculated if target DEC is 85 or more. Calibration is probably not possible.</t>
  </si>
  <si>
    <t>Note: The “Percentage of image size...” box above should normally be left at 5 for PHD Guiding.</t>
  </si>
  <si>
    <t>Once these parameters are set we can begin the guiding calibration process.  Calibration can be done with short exposures</t>
  </si>
  <si>
    <t>as long as there is enough signal that the software can find the guide star.  Once calibration is done, set the exposure</t>
  </si>
  <si>
    <t>recommended below, click “Take Dark” and follow the instructions on the screen.  Before you start capturing images,</t>
  </si>
  <si>
    <t xml:space="preserve">select a guide star and check the SNR (signal to noise ratio) displayed at the bottom of the PHD window.  If it is less </t>
  </si>
  <si>
    <t>than 30 you may want to increase the exposure time to as much as double the value suggested below.  If that still</t>
  </si>
  <si>
    <t>does not produce a SNR greater than 30, consider enabling (or increasing) the noise reduction parameter.</t>
  </si>
  <si>
    <t>Suggested Exposure:</t>
  </si>
  <si>
    <t>seconds</t>
  </si>
  <si>
    <t xml:space="preserve">Congratulations, you are now ready to start capturing images!  That doesn't mean that you won't encounter any </t>
  </si>
  <si>
    <t>problems with guiding, but you should have a very good starting point.  One of the most common and annoying</t>
  </si>
  <si>
    <t>problems is poor response in DEC guiding.  The most important step to reduce such problems is to improve polar</t>
  </si>
  <si>
    <t>alignment, since that will reduce drift.  However, DEC guiding presents a problem because, unlike the RA axis,</t>
  </si>
  <si>
    <t>the DEC axis normally does not move at all, so errors can occur in either direction.  In RA the mount is always</t>
  </si>
  <si>
    <t>moving west and guiding simply changes the speed of that movement.  When the DEC axis changes direction the</t>
  </si>
  <si>
    <t>backlash in the gears has to be overcome before “real” movement starts to correct the error, so you may go through</t>
  </si>
  <si>
    <t>many guiding cycles with a constant (or growing) DEC error before correction actually takes place.  There are several</t>
  </si>
  <si>
    <t xml:space="preserve">solutions to this problem, although none of them is easy to implement.  First, if polar alignment is perfect there </t>
  </si>
  <si>
    <t>should be no DEC error, so DEC guiding can be disabled (there is a check box in the “brain” menu to do this).</t>
  </si>
  <si>
    <t>If you cannot get rid of drift completely, you might try setting “DEC guide mode” to north or south (set to the direction</t>
  </si>
  <si>
    <t>opposite of the drift).  Since DEC drift will (almost always) continue in the same direction, this avoids going through</t>
  </si>
  <si>
    <t>backlash.  If there are errors in the opposite direction they will be ignored and the drift will eventually bring it back</t>
  </si>
  <si>
    <t>to “forward” motion.  It is important to recognize here that whether there is DEC drift or not, most of the apparent</t>
  </si>
  <si>
    <t>error in DEC guiding is probably due to seeing (an important exception is when wind or other forces cause the</t>
  </si>
  <si>
    <t>telescope to move).  In the RA axis errors are usually dominated by periodic error, except in top-quality mounts.</t>
  </si>
  <si>
    <t>Therefore, DEC guiding can provide a useful clue to how well you are managing seeing:  If the DEC corrections are</t>
  </si>
  <si>
    <t>large and erratic it is probably “chasing the seeing”, in which case you should take steps to reduce sensitivity to</t>
  </si>
  <si>
    <t xml:space="preserve">seeing in BOTH axes.  Increase the exposure duration and decrease the RA aggressiveness.  Increased RA </t>
  </si>
  <si>
    <t>hysteresis can also decrease sensitivity to seeing, but is most useful when the mount has slow, consistent PE.</t>
  </si>
  <si>
    <t>As you are capturing images you should click “Enable Graph” in the Tools menu and watch the errors.  Note that</t>
  </si>
  <si>
    <t>the graph shows the errors in pixels (of the guide camera).  Use the calculators below to see what the error is</t>
  </si>
  <si>
    <t>in arcseconds and what that means to the captured image in terms of pixels.  Each vertical division in the graph</t>
  </si>
  <si>
    <t>represents 1 pixel.  You can enter your own reading of the peak or average error for either axis.  Perhaps the most</t>
  </si>
  <si>
    <t xml:space="preserve">useful number to look at is the RMS error shown in the lower left corner of the graph window.  RMS error, while not </t>
  </si>
  <si>
    <t>perfect, is the best indicator of the effect that guiding will have on image sharpness.  Note that RMS is calculated</t>
  </si>
  <si>
    <t>using only the RA errors.</t>
  </si>
  <si>
    <t>Pixel Error:</t>
  </si>
  <si>
    <t xml:space="preserve">Enter the error in pixels here. </t>
  </si>
  <si>
    <t>Arcsec Error:</t>
  </si>
  <si>
    <t>Effect on Image:</t>
  </si>
  <si>
    <t>This shows the error (in pixels) in the imaging camera resulting from the guiding error calculated above.</t>
  </si>
  <si>
    <t>If your guide camera's H and V pixel sizes are not equal, use the average ( (H+V)/2 ) as the image scale for guiding calculations.</t>
  </si>
  <si>
    <t>Exposure Table:</t>
  </si>
  <si>
    <t>This table of constants is used to determine the guiding exposure duration.</t>
  </si>
  <si>
    <t>It is indexed by the seeing and mount quality scores determined above.</t>
  </si>
  <si>
    <t>The values in the table can be edited if you find that other values work better.</t>
  </si>
  <si>
    <t>Seeing: /Mount Quality:</t>
  </si>
  <si>
    <t>Excellent (0):</t>
  </si>
  <si>
    <t>Average (1):</t>
  </si>
  <si>
    <t>Poor (1):</t>
  </si>
  <si>
    <t>Good(1):</t>
  </si>
  <si>
    <t>Typical (2):</t>
  </si>
  <si>
    <t>Poor (3):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</si>
</sst>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@"/>
    <numFmt numFmtId="167" formatCode="0.0"/>
    <numFmt numFmtId="168" formatCode="0.00"/>
  </numFmts>
  <fonts count="4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3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2" borderId="0" xfId="0" applyFill="1" applyAlignment="1">
      <alignment/>
    </xf>
    <xf numFmtId="164" fontId="1" fillId="0" borderId="0" xfId="0" applyFont="1" applyAlignment="1">
      <alignment horizontal="right"/>
    </xf>
    <xf numFmtId="164" fontId="0" fillId="2" borderId="1" xfId="0" applyFill="1" applyBorder="1" applyAlignment="1" applyProtection="1">
      <alignment/>
      <protection hidden="1"/>
    </xf>
    <xf numFmtId="164" fontId="0" fillId="4" borderId="1" xfId="0" applyFill="1" applyBorder="1" applyAlignment="1">
      <alignment/>
    </xf>
    <xf numFmtId="165" fontId="0" fillId="4" borderId="1" xfId="0" applyNumberForma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0" fillId="5" borderId="1" xfId="0" applyFont="1" applyFill="1" applyBorder="1" applyAlignment="1">
      <alignment/>
    </xf>
    <xf numFmtId="164" fontId="0" fillId="5" borderId="1" xfId="0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ill="1" applyAlignment="1">
      <alignment/>
    </xf>
    <xf numFmtId="166" fontId="1" fillId="3" borderId="1" xfId="0" applyNumberFormat="1" applyFont="1" applyFill="1" applyBorder="1" applyAlignment="1">
      <alignment/>
    </xf>
    <xf numFmtId="164" fontId="0" fillId="2" borderId="1" xfId="0" applyFill="1" applyBorder="1" applyAlignment="1">
      <alignment/>
    </xf>
    <xf numFmtId="167" fontId="0" fillId="3" borderId="1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64" fontId="0" fillId="6" borderId="1" xfId="0" applyFill="1" applyBorder="1" applyAlignment="1">
      <alignment/>
    </xf>
    <xf numFmtId="167" fontId="0" fillId="0" borderId="0" xfId="0" applyNumberFormat="1" applyAlignment="1">
      <alignment/>
    </xf>
    <xf numFmtId="166" fontId="1" fillId="0" borderId="0" xfId="0" applyNumberFormat="1" applyFont="1" applyAlignment="1">
      <alignment horizontal="right"/>
    </xf>
    <xf numFmtId="164" fontId="1" fillId="5" borderId="0" xfId="0" applyFont="1" applyFill="1" applyAlignment="1">
      <alignment horizontal="left"/>
    </xf>
    <xf numFmtId="164" fontId="1" fillId="5" borderId="0" xfId="0" applyFont="1" applyFill="1" applyAlignment="1">
      <alignment/>
    </xf>
    <xf numFmtId="167" fontId="1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66" fontId="1" fillId="0" borderId="1" xfId="0" applyNumberFormat="1" applyFont="1" applyBorder="1" applyAlignment="1">
      <alignment horizontal="left"/>
    </xf>
    <xf numFmtId="164" fontId="1" fillId="0" borderId="1" xfId="0" applyFont="1" applyBorder="1" applyAlignment="1">
      <alignment/>
    </xf>
    <xf numFmtId="167" fontId="0" fillId="4" borderId="1" xfId="0" applyNumberFormat="1" applyFill="1" applyBorder="1" applyAlignment="1">
      <alignment/>
    </xf>
    <xf numFmtId="168" fontId="0" fillId="4" borderId="1" xfId="0" applyNumberFormat="1" applyFill="1" applyBorder="1" applyAlignment="1">
      <alignment/>
    </xf>
    <xf numFmtId="166" fontId="1" fillId="2" borderId="1" xfId="0" applyNumberFormat="1" applyFont="1" applyFill="1" applyBorder="1" applyAlignment="1">
      <alignment horizontal="left"/>
    </xf>
    <xf numFmtId="164" fontId="1" fillId="2" borderId="1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4" fontId="0" fillId="0" borderId="0" xfId="0" applyFont="1" applyAlignment="1">
      <alignment/>
    </xf>
    <xf numFmtId="166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/>
    </xf>
    <xf numFmtId="164" fontId="1" fillId="0" borderId="0" xfId="0" applyFont="1" applyFill="1" applyBorder="1" applyAlignment="1">
      <alignment/>
    </xf>
    <xf numFmtId="164" fontId="1" fillId="4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right"/>
    </xf>
    <xf numFmtId="164" fontId="1" fillId="0" borderId="0" xfId="0" applyFont="1" applyFill="1" applyBorder="1" applyAlignment="1">
      <alignment horizontal="left"/>
    </xf>
    <xf numFmtId="165" fontId="0" fillId="2" borderId="1" xfId="0" applyNumberFormat="1" applyFill="1" applyBorder="1" applyAlignment="1">
      <alignment/>
    </xf>
    <xf numFmtId="164" fontId="1" fillId="5" borderId="1" xfId="0" applyFont="1" applyFill="1" applyBorder="1" applyAlignment="1">
      <alignment horizontal="left"/>
    </xf>
    <xf numFmtId="164" fontId="1" fillId="5" borderId="1" xfId="0" applyFont="1" applyFill="1" applyBorder="1" applyAlignment="1">
      <alignment/>
    </xf>
    <xf numFmtId="164" fontId="0" fillId="5" borderId="1" xfId="0" applyFont="1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1" fillId="4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left"/>
    </xf>
    <xf numFmtId="168" fontId="1" fillId="4" borderId="1" xfId="0" applyNumberFormat="1" applyFont="1" applyFill="1" applyBorder="1" applyAlignment="1">
      <alignment horizontal="left"/>
    </xf>
    <xf numFmtId="164" fontId="0" fillId="7" borderId="1" xfId="0" applyFill="1" applyBorder="1" applyAlignment="1">
      <alignment/>
    </xf>
    <xf numFmtId="168" fontId="1" fillId="2" borderId="1" xfId="0" applyNumberFormat="1" applyFont="1" applyFill="1" applyBorder="1" applyAlignment="1">
      <alignment horizontal="left"/>
    </xf>
    <xf numFmtId="164" fontId="0" fillId="0" borderId="0" xfId="0" applyAlignment="1">
      <alignment horizontal="left"/>
    </xf>
    <xf numFmtId="164" fontId="1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-chur-ed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 topLeftCell="A1">
      <selection activeCell="G16" sqref="G16"/>
    </sheetView>
  </sheetViews>
  <sheetFormatPr defaultColWidth="12.57421875" defaultRowHeight="12.75"/>
  <cols>
    <col min="1" max="1" width="25.28125" style="1" customWidth="1"/>
    <col min="2" max="16384" width="11.57421875" style="0" customWidth="1"/>
  </cols>
  <sheetData>
    <row r="1" spans="1:2" ht="12.75">
      <c r="A1" s="2" t="s">
        <v>0</v>
      </c>
      <c r="B1" s="2" t="s">
        <v>1</v>
      </c>
    </row>
    <row r="2" ht="12.75">
      <c r="A2" s="3" t="s">
        <v>2</v>
      </c>
    </row>
    <row r="3" ht="12.75">
      <c r="A3" s="3"/>
    </row>
    <row r="4" ht="12.75">
      <c r="A4" s="2" t="s">
        <v>3</v>
      </c>
    </row>
    <row r="6" spans="1:9" s="1" customFormat="1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4" t="s">
        <v>9</v>
      </c>
      <c r="G6" s="1" t="s">
        <v>10</v>
      </c>
      <c r="I6" s="1" t="s">
        <v>11</v>
      </c>
    </row>
    <row r="7" spans="1:7" s="1" customFormat="1" ht="12.75">
      <c r="A7" s="1" t="s">
        <v>12</v>
      </c>
      <c r="B7" s="5"/>
      <c r="C7" s="5"/>
      <c r="D7" s="5"/>
      <c r="E7" s="5"/>
      <c r="F7" s="4"/>
      <c r="G7" s="1" t="s">
        <v>13</v>
      </c>
    </row>
    <row r="8" spans="1:11" ht="12.75">
      <c r="A8" s="1" t="s">
        <v>14</v>
      </c>
      <c r="B8" s="6"/>
      <c r="C8" s="6"/>
      <c r="D8" s="6"/>
      <c r="E8" s="6"/>
      <c r="F8" s="7"/>
      <c r="H8" s="1" t="s">
        <v>15</v>
      </c>
      <c r="I8" s="1" t="s">
        <v>16</v>
      </c>
      <c r="J8" s="1" t="s">
        <v>17</v>
      </c>
      <c r="K8" s="1" t="s">
        <v>18</v>
      </c>
    </row>
    <row r="9" spans="1:11" ht="12.75">
      <c r="A9" s="1" t="s">
        <v>19</v>
      </c>
      <c r="B9" s="6"/>
      <c r="C9" s="6"/>
      <c r="D9" s="6"/>
      <c r="E9" s="6"/>
      <c r="F9" s="7"/>
      <c r="G9" s="8" t="s">
        <v>20</v>
      </c>
      <c r="H9" s="6">
        <v>1</v>
      </c>
      <c r="I9" s="6">
        <v>1</v>
      </c>
      <c r="J9" s="6">
        <v>1</v>
      </c>
      <c r="K9" s="6">
        <v>1</v>
      </c>
    </row>
    <row r="10" spans="1:11" ht="12.75">
      <c r="A10" s="1" t="s">
        <v>21</v>
      </c>
      <c r="B10" s="6">
        <f>IF(_xlfnodf.ISFORMULA(B11),0,B11/B9)</f>
        <v>0</v>
      </c>
      <c r="C10" s="6">
        <f>IF(_xlfnodf.ISFORMULA(C11),0,C11/C9)</f>
        <v>0</v>
      </c>
      <c r="D10" s="6">
        <f>IF(_xlfnodf.ISFORMULA(D11),0,D11/D9)</f>
        <v>0</v>
      </c>
      <c r="E10" s="6">
        <f>IF(_xlfnodf.ISFORMULA(E11),0,E11/E9)</f>
        <v>0</v>
      </c>
      <c r="F10" s="9">
        <f>IF(_xlfnodf.ISFORMULA(F11),0,F11/F9)</f>
        <v>0</v>
      </c>
      <c r="G10" s="8" t="s">
        <v>22</v>
      </c>
      <c r="H10" s="6">
        <v>1</v>
      </c>
      <c r="I10" s="6">
        <v>1</v>
      </c>
      <c r="J10" s="6">
        <v>1</v>
      </c>
      <c r="K10" s="6">
        <v>1</v>
      </c>
    </row>
    <row r="11" spans="1:11" ht="12.75">
      <c r="A11" s="1" t="s">
        <v>23</v>
      </c>
      <c r="B11" s="6">
        <f>B9*B10</f>
        <v>0</v>
      </c>
      <c r="C11" s="6">
        <f>C9*C10</f>
        <v>0</v>
      </c>
      <c r="D11" s="6">
        <f>D9*D10</f>
        <v>0</v>
      </c>
      <c r="E11" s="6">
        <f>E9*E10</f>
        <v>0</v>
      </c>
      <c r="F11" s="9">
        <f>F9*F10</f>
        <v>0</v>
      </c>
      <c r="G11" s="8" t="s">
        <v>24</v>
      </c>
      <c r="H11" s="6">
        <v>1</v>
      </c>
      <c r="I11" s="6">
        <v>1</v>
      </c>
      <c r="J11" s="6">
        <v>1</v>
      </c>
      <c r="K11" s="6">
        <v>1</v>
      </c>
    </row>
    <row r="12" spans="1:11" ht="12.75">
      <c r="A12" s="1" t="s">
        <v>25</v>
      </c>
      <c r="B12" s="6">
        <v>1</v>
      </c>
      <c r="C12" s="6">
        <v>1</v>
      </c>
      <c r="D12" s="6">
        <v>1</v>
      </c>
      <c r="E12" s="6">
        <v>1</v>
      </c>
      <c r="F12" s="9">
        <v>1</v>
      </c>
      <c r="G12" s="8" t="s">
        <v>26</v>
      </c>
      <c r="H12" s="6">
        <v>1</v>
      </c>
      <c r="I12" s="6">
        <v>1</v>
      </c>
      <c r="J12" s="6">
        <v>1</v>
      </c>
      <c r="K12" s="6">
        <v>1</v>
      </c>
    </row>
    <row r="13" spans="1:11" ht="12.75">
      <c r="A13" s="1" t="s">
        <v>27</v>
      </c>
      <c r="B13" s="10" t="e">
        <f>3600*(DEGREES(ASIN(1.22*($B$69/(B9*1000000)))))</f>
        <v>#DIV/0!</v>
      </c>
      <c r="C13" s="10" t="e">
        <f>3600*(DEGREES(ASIN(1.22*($B$69/(C9*1000000)))))</f>
        <v>#DIV/0!</v>
      </c>
      <c r="D13" s="10" t="e">
        <f>3600*(DEGREES(ASIN(1.22*($B$69/(D9*1000000)))))</f>
        <v>#DIV/0!</v>
      </c>
      <c r="E13" s="10" t="e">
        <f>3600*(DEGREES(ASIN(1.22*($B$69/(E9*1000000)))))</f>
        <v>#DIV/0!</v>
      </c>
      <c r="F13" s="9" t="e">
        <f>3600*(DEGREES(ASIN(1.22*($B$69/(F9*1000000)))))</f>
        <v>#DIV/0!</v>
      </c>
      <c r="G13" s="8" t="s">
        <v>28</v>
      </c>
      <c r="H13" s="6">
        <v>1</v>
      </c>
      <c r="I13" s="6">
        <v>1</v>
      </c>
      <c r="J13" s="6">
        <v>1</v>
      </c>
      <c r="K13" s="6">
        <v>1</v>
      </c>
    </row>
    <row r="14" spans="1:11" ht="12.75">
      <c r="A14" s="1" t="s">
        <v>29</v>
      </c>
      <c r="B14" s="10">
        <f>ROUND(2.44*($B$69/1000)*B10,1)</f>
        <v>0</v>
      </c>
      <c r="C14" s="10">
        <f>ROUND(2.44*($B$69/1000)*C10,1)</f>
        <v>0</v>
      </c>
      <c r="D14" s="10">
        <f>ROUND(2.44*($B$69/1000)*D10,1)</f>
        <v>0</v>
      </c>
      <c r="E14" s="10">
        <f>ROUND(2.44*($B$69/1000)*E10,1)</f>
        <v>0</v>
      </c>
      <c r="F14" s="9">
        <f>ROUND(2.44*($B$69/1000)*F10,1)</f>
        <v>0</v>
      </c>
      <c r="G14" s="8" t="s">
        <v>30</v>
      </c>
      <c r="H14" s="6">
        <v>1</v>
      </c>
      <c r="I14" s="6">
        <v>1</v>
      </c>
      <c r="J14" s="6">
        <v>1</v>
      </c>
      <c r="K14" s="6">
        <v>1</v>
      </c>
    </row>
    <row r="15" spans="1:11" ht="12.75">
      <c r="A15" s="1" t="s">
        <v>31</v>
      </c>
      <c r="B15" s="10" t="e">
        <f>ROUND($B$72+(5*LOG10((B9/$B$57)*B12)),1)</f>
        <v>#VALUE!</v>
      </c>
      <c r="C15" s="10" t="e">
        <f>ROUND($B$72+(5*LOG10(C9/$B$57)),1)</f>
        <v>#VALUE!</v>
      </c>
      <c r="D15" s="10" t="e">
        <f>ROUND($B$72+(5*LOG10(D9/$B$57)),1)</f>
        <v>#VALUE!</v>
      </c>
      <c r="E15" s="10" t="e">
        <f>ROUND($B$72+(5*LOG10(E9/$B$57)),1)</f>
        <v>#VALUE!</v>
      </c>
      <c r="F15" s="9" t="e">
        <f>ROUND($B$72+(5*LOG10(F9/$B$57)),1)</f>
        <v>#VALUE!</v>
      </c>
      <c r="G15" s="8" t="s">
        <v>32</v>
      </c>
      <c r="H15" s="11">
        <f>H9*H10*H11*H12*H13*H14</f>
        <v>1</v>
      </c>
      <c r="I15" s="11">
        <f>I9*I10*I11*I12*I13*I14</f>
        <v>1</v>
      </c>
      <c r="J15" s="11">
        <f>J9*J10*J11*J12*J13*J14</f>
        <v>1</v>
      </c>
      <c r="K15" s="11">
        <f>K9*K10*K11*K12*K13*K14</f>
        <v>1</v>
      </c>
    </row>
    <row r="16" spans="7:11" ht="12.75">
      <c r="G16" s="1" t="s">
        <v>33</v>
      </c>
      <c r="K16" s="11">
        <f>H15*I15*J15*K15</f>
        <v>1</v>
      </c>
    </row>
    <row r="17" spans="7:11" ht="12.75">
      <c r="G17" s="1"/>
      <c r="K17" s="12"/>
    </row>
    <row r="18" spans="1:2" ht="12.75">
      <c r="A18" s="1" t="s">
        <v>34</v>
      </c>
      <c r="B18" t="s">
        <v>35</v>
      </c>
    </row>
    <row r="19" ht="12.75">
      <c r="B19" t="s">
        <v>36</v>
      </c>
    </row>
    <row r="20" ht="12.75">
      <c r="B20" t="s">
        <v>37</v>
      </c>
    </row>
    <row r="21" ht="12.75">
      <c r="B21" t="s">
        <v>38</v>
      </c>
    </row>
    <row r="22" ht="12.75">
      <c r="B22" t="s">
        <v>39</v>
      </c>
    </row>
    <row r="23" ht="12.75">
      <c r="B23" t="s">
        <v>40</v>
      </c>
    </row>
    <row r="24" spans="7:11" ht="12.75">
      <c r="G24" s="1"/>
      <c r="K24" s="12"/>
    </row>
    <row r="25" spans="1:11" s="1" customFormat="1" ht="12.75">
      <c r="A25" s="1" t="s">
        <v>41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42</v>
      </c>
      <c r="G25" s="1" t="s">
        <v>43</v>
      </c>
      <c r="H25" s="1" t="s">
        <v>44</v>
      </c>
      <c r="I25" s="1" t="s">
        <v>45</v>
      </c>
      <c r="J25" s="1" t="s">
        <v>46</v>
      </c>
      <c r="K25" s="1" t="s">
        <v>47</v>
      </c>
    </row>
    <row r="26" spans="1:11" s="1" customFormat="1" ht="12.75">
      <c r="A26" s="1" t="s">
        <v>12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1" t="s">
        <v>23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1" t="s">
        <v>48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1" t="s">
        <v>25</v>
      </c>
      <c r="B29" s="6">
        <v>1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</row>
    <row r="30" spans="2:11" ht="12.7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2" ht="12.75">
      <c r="A31" s="1" t="s">
        <v>34</v>
      </c>
      <c r="B31" t="s">
        <v>49</v>
      </c>
    </row>
    <row r="32" ht="12.75">
      <c r="B32" t="s">
        <v>50</v>
      </c>
    </row>
    <row r="34" spans="2:4" ht="12.75">
      <c r="B34" s="1" t="s">
        <v>51</v>
      </c>
      <c r="C34" s="1" t="s">
        <v>52</v>
      </c>
      <c r="D34" s="1" t="s">
        <v>53</v>
      </c>
    </row>
    <row r="35" spans="2:10" ht="12.75">
      <c r="B35" s="14" t="s">
        <v>54</v>
      </c>
      <c r="C35" s="15">
        <v>30</v>
      </c>
      <c r="D35" s="16" t="s">
        <v>55</v>
      </c>
      <c r="E35" s="16"/>
      <c r="F35" s="16"/>
      <c r="G35" s="16"/>
      <c r="H35" s="16"/>
      <c r="I35" s="16"/>
      <c r="J35" s="16"/>
    </row>
    <row r="36" spans="2:13" ht="12.75">
      <c r="B36" s="14" t="s">
        <v>56</v>
      </c>
      <c r="C36" s="15">
        <v>45</v>
      </c>
      <c r="D36" s="16"/>
      <c r="E36" s="16"/>
      <c r="F36" s="16"/>
      <c r="G36" s="16"/>
      <c r="H36" s="16"/>
      <c r="I36" s="16"/>
      <c r="J36" s="16"/>
      <c r="M36" s="17"/>
    </row>
    <row r="37" spans="2:10" ht="12.75">
      <c r="B37" s="14" t="s">
        <v>57</v>
      </c>
      <c r="C37" s="15">
        <v>50</v>
      </c>
      <c r="D37" s="16" t="s">
        <v>58</v>
      </c>
      <c r="E37" s="16"/>
      <c r="F37" s="16"/>
      <c r="G37" s="16"/>
      <c r="H37" s="16"/>
      <c r="I37" s="16"/>
      <c r="J37" s="16"/>
    </row>
    <row r="38" spans="2:10" ht="12.75">
      <c r="B38" s="14" t="s">
        <v>59</v>
      </c>
      <c r="C38" s="15">
        <v>60</v>
      </c>
      <c r="D38" s="16"/>
      <c r="E38" s="16"/>
      <c r="F38" s="16"/>
      <c r="G38" s="16"/>
      <c r="H38" s="16"/>
      <c r="I38" s="16"/>
      <c r="J38" s="16"/>
    </row>
    <row r="39" spans="2:10" ht="12.75">
      <c r="B39" s="14" t="s">
        <v>60</v>
      </c>
      <c r="C39" s="15">
        <v>68</v>
      </c>
      <c r="D39" s="16" t="s">
        <v>61</v>
      </c>
      <c r="E39" s="16"/>
      <c r="F39" s="16"/>
      <c r="G39" s="16"/>
      <c r="H39" s="16"/>
      <c r="I39" s="16"/>
      <c r="J39" s="16"/>
    </row>
    <row r="40" spans="2:10" ht="12.75">
      <c r="B40" s="14" t="s">
        <v>62</v>
      </c>
      <c r="C40" s="15">
        <v>80</v>
      </c>
      <c r="D40" s="16"/>
      <c r="E40" s="16"/>
      <c r="F40" s="16"/>
      <c r="G40" s="16"/>
      <c r="H40" s="16"/>
      <c r="I40" s="16"/>
      <c r="J40" s="16"/>
    </row>
    <row r="41" spans="2:10" ht="12.75">
      <c r="B41" s="14" t="s">
        <v>63</v>
      </c>
      <c r="C41" s="15">
        <v>100</v>
      </c>
      <c r="D41" s="16"/>
      <c r="E41" s="16"/>
      <c r="F41" s="16"/>
      <c r="G41" s="16"/>
      <c r="H41" s="16"/>
      <c r="I41" s="16"/>
      <c r="J41" s="16"/>
    </row>
    <row r="43" spans="1:6" s="1" customFormat="1" ht="12.75">
      <c r="A43" s="1" t="s">
        <v>64</v>
      </c>
      <c r="B43" s="1" t="s">
        <v>5</v>
      </c>
      <c r="C43" s="1" t="s">
        <v>6</v>
      </c>
      <c r="D43" s="1" t="s">
        <v>7</v>
      </c>
      <c r="E43" s="1" t="s">
        <v>8</v>
      </c>
      <c r="F43" s="4" t="s">
        <v>9</v>
      </c>
    </row>
    <row r="44" spans="1:6" s="1" customFormat="1" ht="12.75">
      <c r="A44" s="1" t="s">
        <v>12</v>
      </c>
      <c r="B44" s="18"/>
      <c r="C44" s="18"/>
      <c r="D44" s="18"/>
      <c r="E44" s="18"/>
      <c r="F44" s="4"/>
    </row>
    <row r="45" spans="1:6" ht="12.75">
      <c r="A45" s="1" t="s">
        <v>65</v>
      </c>
      <c r="B45" s="6">
        <f>IF(OR(_xlfnodf.ISFORMULA(B47),_xlfnodf.ISFORMULA(B49)),0,B47*1000/B49)</f>
        <v>0</v>
      </c>
      <c r="C45" s="6">
        <f>IF(OR(_xlfnodf.ISFORMULA(C47),_xlfnodf.ISFORMULA(C49)),0,C47*1000/C49)</f>
        <v>0</v>
      </c>
      <c r="D45" s="6">
        <f>IF(OR(_xlfnodf.ISFORMULA(D47),_xlfnodf.ISFORMULA(D49)),0,D47*1000/D49)</f>
        <v>0</v>
      </c>
      <c r="E45" s="6">
        <f>IF(OR(_xlfnodf.ISFORMULA(E47),_xlfnodf.ISFORMULA(E49)),0,E47*1000/E49)</f>
        <v>0</v>
      </c>
      <c r="F45" s="19">
        <f>IF(OR(_xlfnodf.ISFORMULA(F47),_xlfnodf.ISFORMULA(F49)),0,F47*1000/F49)</f>
        <v>0</v>
      </c>
    </row>
    <row r="46" spans="1:6" ht="12.75">
      <c r="A46" s="1" t="s">
        <v>66</v>
      </c>
      <c r="B46" s="6">
        <f>IF(OR(_xlfnodf.ISFORMULA(B48),_xlfnodf.ISFORMULA(B50)),0,B48*1000/B50)</f>
        <v>0</v>
      </c>
      <c r="C46" s="6">
        <f>IF(OR(_xlfnodf.ISFORMULA(C48),_xlfnodf.ISFORMULA(C50)),0,C48*1000/C50)</f>
        <v>0</v>
      </c>
      <c r="D46" s="6">
        <f>IF(OR(_xlfnodf.ISFORMULA(D48),_xlfnodf.ISFORMULA(D50)),0,D48*1000/D50)</f>
        <v>0</v>
      </c>
      <c r="E46" s="6">
        <f>IF(OR(_xlfnodf.ISFORMULA(E48),_xlfnodf.ISFORMULA(E50)),0,E48*1000/E50)</f>
        <v>0</v>
      </c>
      <c r="F46" s="19">
        <f>IF(OR(_xlfnodf.ISFORMULA(F48),_xlfnodf.ISFORMULA(F50)),0,F48*1000/F50)</f>
        <v>0</v>
      </c>
    </row>
    <row r="47" spans="1:6" ht="12.75">
      <c r="A47" s="1" t="s">
        <v>67</v>
      </c>
      <c r="B47" s="20">
        <f>IF(OR(_xlfnodf.ISFORMULA(B45),_xlfnodf.ISFORMULA(B49)),0,B45*B49/1000)</f>
        <v>0</v>
      </c>
      <c r="C47" s="20">
        <f>IF(OR(_xlfnodf.ISFORMULA(C45),_xlfnodf.ISFORMULA(C49)),0,C45*C49/1000)</f>
        <v>0</v>
      </c>
      <c r="D47" s="20">
        <f>IF(OR(_xlfnodf.ISFORMULA(D45),_xlfnodf.ISFORMULA(D49)),0,D45*D49/1000)</f>
        <v>0</v>
      </c>
      <c r="E47" s="20">
        <f>IF(OR(_xlfnodf.ISFORMULA(E45),_xlfnodf.ISFORMULA(E49)),0,E45*E49/1000)</f>
        <v>0</v>
      </c>
      <c r="F47" s="21">
        <f>IF(OR(_xlfnodf.ISFORMULA(F45),_xlfnodf.ISFORMULA(F49)),0,F45*F49/1000)</f>
        <v>0</v>
      </c>
    </row>
    <row r="48" spans="1:6" ht="12.75">
      <c r="A48" s="1" t="s">
        <v>68</v>
      </c>
      <c r="B48" s="20">
        <f>IF(OR(_xlfnodf.ISFORMULA(B46),_xlfnodf.ISFORMULA(B50)),0,B46*B50/1000)</f>
        <v>0</v>
      </c>
      <c r="C48" s="20">
        <f>IF(OR(_xlfnodf.ISFORMULA(C46),_xlfnodf.ISFORMULA(C50)),0,C46*C50/1000)</f>
        <v>0</v>
      </c>
      <c r="D48" s="20">
        <f>IF(OR(_xlfnodf.ISFORMULA(D46),_xlfnodf.ISFORMULA(D50)),0,D46*D50/1000)</f>
        <v>0</v>
      </c>
      <c r="E48" s="20">
        <f>IF(OR(_xlfnodf.ISFORMULA(E46),_xlfnodf.ISFORMULA(E50)),0,E46*E50/1000)</f>
        <v>0</v>
      </c>
      <c r="F48" s="21">
        <f>IF(OR(_xlfnodf.ISFORMULA(F46),_xlfnodf.ISFORMULA(F50)),0,F46*F50/1000)</f>
        <v>0</v>
      </c>
    </row>
    <row r="49" spans="1:6" ht="12.75">
      <c r="A49" s="1" t="s">
        <v>69</v>
      </c>
      <c r="B49" s="22">
        <f>IF(OR(_xlfnodf.ISFORMULA(B45),_xlfnodf.ISFORMULA(B47)),0,B47*1000/B45)</f>
        <v>0</v>
      </c>
      <c r="C49" s="22">
        <f>IF(OR(_xlfnodf.ISFORMULA(C45),_xlfnodf.ISFORMULA(C47)),0,C47*1000/C45)</f>
        <v>0</v>
      </c>
      <c r="D49" s="22">
        <f>IF(OR(_xlfnodf.ISFORMULA(D45),_xlfnodf.ISFORMULA(D47)),0,D47*1000/D45)</f>
        <v>0</v>
      </c>
      <c r="E49" s="22">
        <f>IF(OR(_xlfnodf.ISFORMULA(E45),_xlfnodf.ISFORMULA(E47)),0,E47*1000/E45)</f>
        <v>0</v>
      </c>
      <c r="F49" s="23">
        <f>IF(OR(_xlfnodf.ISFORMULA(F45),_xlfnodf.ISFORMULA(F47)),0,F47*1000/F45)</f>
        <v>0</v>
      </c>
    </row>
    <row r="50" spans="1:6" ht="12.75">
      <c r="A50" s="1" t="s">
        <v>70</v>
      </c>
      <c r="B50" s="22">
        <f>IF(OR(_xlfnodf.ISFORMULA(B46),_xlfnodf.ISFORMULA(B48)),0,B48*1000/B46)</f>
        <v>0</v>
      </c>
      <c r="C50" s="22">
        <f>IF(OR(_xlfnodf.ISFORMULA(C46),_xlfnodf.ISFORMULA(C48)),0,C48*1000/C46)</f>
        <v>0</v>
      </c>
      <c r="D50" s="22">
        <f>IF(OR(_xlfnodf.ISFORMULA(D46),_xlfnodf.ISFORMULA(D48)),0,D48*1000/D46)</f>
        <v>0</v>
      </c>
      <c r="E50" s="22">
        <f>IF(OR(_xlfnodf.ISFORMULA(E46),_xlfnodf.ISFORMULA(E48)),0,E48*1000/E46)</f>
        <v>0</v>
      </c>
      <c r="F50" s="23">
        <f>IF(OR(_xlfnodf.ISFORMULA(F46),_xlfnodf.ISFORMULA(F48)),0,F48*1000/F46)</f>
        <v>0</v>
      </c>
    </row>
    <row r="52" spans="1:2" ht="12.75">
      <c r="A52" s="1" t="s">
        <v>34</v>
      </c>
      <c r="B52" t="s">
        <v>71</v>
      </c>
    </row>
    <row r="53" ht="12.75">
      <c r="B53" t="s">
        <v>72</v>
      </c>
    </row>
    <row r="54" ht="12.75">
      <c r="B54" t="s">
        <v>73</v>
      </c>
    </row>
    <row r="56" ht="12.75">
      <c r="A56" s="1" t="s">
        <v>74</v>
      </c>
    </row>
    <row r="57" spans="1:2" ht="12.75">
      <c r="A57" s="1" t="s">
        <v>75</v>
      </c>
      <c r="B57" s="6">
        <v>6</v>
      </c>
    </row>
    <row r="59" spans="1:2" ht="12.75">
      <c r="A59" s="1" t="s">
        <v>34</v>
      </c>
      <c r="B59" t="s">
        <v>76</v>
      </c>
    </row>
    <row r="60" spans="2:3" ht="12.75">
      <c r="B60" s="1" t="s">
        <v>77</v>
      </c>
      <c r="C60" s="1" t="s">
        <v>78</v>
      </c>
    </row>
    <row r="61" spans="2:3" ht="12.75">
      <c r="B61" s="15" t="s">
        <v>79</v>
      </c>
      <c r="C61" s="15">
        <v>7</v>
      </c>
    </row>
    <row r="62" spans="2:3" ht="12.75">
      <c r="B62" s="15">
        <v>30</v>
      </c>
      <c r="C62" s="15">
        <v>6.5</v>
      </c>
    </row>
    <row r="63" spans="2:3" ht="12.75">
      <c r="B63" s="15">
        <v>35</v>
      </c>
      <c r="C63" s="15">
        <v>6</v>
      </c>
    </row>
    <row r="64" spans="2:3" ht="12.75">
      <c r="B64" s="15">
        <v>45</v>
      </c>
      <c r="C64" s="15">
        <v>5.5</v>
      </c>
    </row>
    <row r="65" spans="2:3" ht="12.75">
      <c r="B65" s="15">
        <v>60</v>
      </c>
      <c r="C65" s="15">
        <v>5</v>
      </c>
    </row>
    <row r="66" spans="2:3" ht="12.75">
      <c r="B66" s="15">
        <v>80</v>
      </c>
      <c r="C66" s="15">
        <v>4.5</v>
      </c>
    </row>
    <row r="68" spans="1:4" ht="12.75">
      <c r="A68" s="1" t="s">
        <v>80</v>
      </c>
      <c r="D68" s="7" t="s">
        <v>81</v>
      </c>
    </row>
    <row r="69" spans="1:4" ht="12.75">
      <c r="A69" s="1" t="s">
        <v>82</v>
      </c>
      <c r="B69" s="24">
        <v>510</v>
      </c>
      <c r="D69" s="19">
        <v>510</v>
      </c>
    </row>
    <row r="70" spans="1:4" ht="12.75">
      <c r="A70" s="1" t="s">
        <v>83</v>
      </c>
      <c r="B70" s="24">
        <v>1.5</v>
      </c>
      <c r="D70" s="19">
        <v>1.5</v>
      </c>
    </row>
    <row r="71" spans="1:4" ht="12.75">
      <c r="A71" s="1" t="s">
        <v>84</v>
      </c>
      <c r="B71" s="24">
        <v>2.5</v>
      </c>
      <c r="D71" s="19">
        <v>2.5</v>
      </c>
    </row>
    <row r="72" spans="1:4" ht="12.75">
      <c r="A72" s="1" t="s">
        <v>85</v>
      </c>
      <c r="B72" s="24">
        <v>6</v>
      </c>
      <c r="D72" s="19">
        <v>6</v>
      </c>
    </row>
    <row r="73" spans="1:4" ht="12.75">
      <c r="A73" s="1" t="s">
        <v>86</v>
      </c>
      <c r="B73" s="24">
        <v>1</v>
      </c>
      <c r="D73" s="19">
        <v>1</v>
      </c>
    </row>
    <row r="74" spans="1:4" ht="12.75">
      <c r="A74" s="1" t="s">
        <v>87</v>
      </c>
      <c r="B74" s="24">
        <v>3</v>
      </c>
      <c r="D74" s="19">
        <v>3</v>
      </c>
    </row>
    <row r="75" spans="1:4" ht="12.75">
      <c r="A75" s="1" t="s">
        <v>88</v>
      </c>
      <c r="B75" s="24">
        <v>4</v>
      </c>
      <c r="D75" s="19">
        <v>4</v>
      </c>
    </row>
    <row r="77" spans="1:8" ht="12.75">
      <c r="A77" s="1" t="s">
        <v>34</v>
      </c>
      <c r="B77" s="1" t="s">
        <v>89</v>
      </c>
      <c r="C77" s="1"/>
      <c r="D77" s="1"/>
      <c r="E77" s="1"/>
      <c r="F77" s="1"/>
      <c r="G77" s="1"/>
      <c r="H77" s="1"/>
    </row>
    <row r="78" spans="1:2" ht="12.75">
      <c r="A78" s="1" t="s">
        <v>90</v>
      </c>
      <c r="B78" t="s">
        <v>91</v>
      </c>
    </row>
    <row r="79" spans="1:2" ht="12.75">
      <c r="A79" s="1" t="s">
        <v>92</v>
      </c>
      <c r="B79" t="s">
        <v>93</v>
      </c>
    </row>
    <row r="80" spans="1:2" ht="12.75">
      <c r="A80" s="1" t="s">
        <v>94</v>
      </c>
      <c r="B80" t="s">
        <v>95</v>
      </c>
    </row>
    <row r="81" spans="1:2" ht="12.75">
      <c r="A81" s="1" t="s">
        <v>96</v>
      </c>
      <c r="B81" t="s">
        <v>97</v>
      </c>
    </row>
    <row r="82" spans="1:2" ht="12.75">
      <c r="A82" s="1" t="s">
        <v>98</v>
      </c>
      <c r="B82" t="s">
        <v>99</v>
      </c>
    </row>
    <row r="83" spans="1:2" ht="12.75">
      <c r="A83" s="1" t="s">
        <v>100</v>
      </c>
      <c r="B83" t="s">
        <v>101</v>
      </c>
    </row>
    <row r="84" spans="1:2" ht="12.75">
      <c r="A84" s="1" t="s">
        <v>102</v>
      </c>
      <c r="B84" t="s">
        <v>103</v>
      </c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7" spans="1:11" ht="12.75">
      <c r="A97"/>
      <c r="I97" s="1"/>
      <c r="J97" s="1"/>
      <c r="K97" s="1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7" spans="2:11" s="1" customFormat="1" ht="12.75">
      <c r="B107"/>
      <c r="C107"/>
      <c r="D107"/>
      <c r="E107"/>
      <c r="F107"/>
      <c r="G107"/>
      <c r="H107"/>
      <c r="I107"/>
      <c r="J107"/>
      <c r="K107"/>
    </row>
  </sheetData>
  <sheetProtection selectLockedCells="1" selectUnlockedCells="1"/>
  <hyperlinks>
    <hyperlink ref="A2" r:id="rId1" display="Copyright © 2012, Greg Marshall, Wa-chur-ed Observatory (www.wa-chur-ed.com)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I14" sqref="I14"/>
    </sheetView>
  </sheetViews>
  <sheetFormatPr defaultColWidth="12.57421875" defaultRowHeight="12.75"/>
  <cols>
    <col min="1" max="1" width="13.8515625" style="1" customWidth="1"/>
    <col min="2" max="2" width="16.7109375" style="1" customWidth="1"/>
    <col min="3" max="3" width="13.421875" style="1" customWidth="1"/>
    <col min="4" max="4" width="7.57421875" style="0" customWidth="1"/>
    <col min="5" max="5" width="10.00390625" style="0" customWidth="1"/>
    <col min="6" max="6" width="14.8515625" style="25" customWidth="1"/>
    <col min="7" max="7" width="9.7109375" style="0" customWidth="1"/>
    <col min="8" max="8" width="21.8515625" style="0" customWidth="1"/>
    <col min="9" max="9" width="22.7109375" style="0" customWidth="1"/>
    <col min="10" max="16384" width="11.57421875" style="0" customWidth="1"/>
  </cols>
  <sheetData>
    <row r="1" spans="1:3" ht="12.75">
      <c r="A1" s="2" t="s">
        <v>104</v>
      </c>
      <c r="B1" s="2"/>
      <c r="C1" s="2"/>
    </row>
    <row r="3" spans="1:3" ht="12.75">
      <c r="A3" s="1" t="s">
        <v>105</v>
      </c>
      <c r="B3" s="1" t="s">
        <v>106</v>
      </c>
      <c r="C3" s="1" t="s">
        <v>107</v>
      </c>
    </row>
    <row r="4" spans="1:3" ht="12.75">
      <c r="A4" s="26" t="s">
        <v>108</v>
      </c>
      <c r="B4" s="27">
        <f>Equipment!$B$7</f>
        <v>0</v>
      </c>
      <c r="C4" s="27" t="str">
        <f>CONCATENATE(Equipment!$B$9," mm")</f>
        <v> mm</v>
      </c>
    </row>
    <row r="5" spans="1:3" ht="12.75">
      <c r="A5" s="26" t="s">
        <v>109</v>
      </c>
      <c r="B5" s="27">
        <f>Equipment!$C$7</f>
        <v>0</v>
      </c>
      <c r="C5" s="27" t="str">
        <f>CONCATENATE(Equipment!$C$9," mm")</f>
        <v> mm</v>
      </c>
    </row>
    <row r="6" spans="1:3" ht="12.75">
      <c r="A6" s="26" t="s">
        <v>110</v>
      </c>
      <c r="B6" s="27">
        <f>Equipment!$D$7</f>
        <v>0</v>
      </c>
      <c r="C6" s="27" t="str">
        <f>CONCATENATE(Equipment!$D$9," mm")</f>
        <v> mm</v>
      </c>
    </row>
    <row r="7" spans="1:3" ht="12.75">
      <c r="A7" s="26" t="s">
        <v>111</v>
      </c>
      <c r="B7" s="27">
        <f>Equipment!$E$7</f>
        <v>0</v>
      </c>
      <c r="C7" s="27" t="str">
        <f>CONCATENATE(Equipment!$E$9," mm")</f>
        <v> mm</v>
      </c>
    </row>
    <row r="9" spans="1:3" ht="12.75">
      <c r="A9" s="1" t="s">
        <v>112</v>
      </c>
      <c r="C9" s="5"/>
    </row>
    <row r="11" spans="1:3" ht="12.75">
      <c r="A11" s="1" t="s">
        <v>113</v>
      </c>
      <c r="B11" s="28" t="str">
        <f ca="1">IF(AND($C$9&gt;0,$C$9&lt;5),OFFSET(Equipment!$B$7,0,($C$9-1)),"undefined")</f>
        <v>undefined</v>
      </c>
      <c r="C11" s="27" t="str">
        <f ca="1">IF(AND($C$9&gt;0,$C$9&lt;5),CONCATENATE(OFFSET(Equipment!$B$9,0,($C$9-1)),"  mm"),"undefined")</f>
        <v>undefined</v>
      </c>
    </row>
    <row r="13" spans="1:9" s="1" customFormat="1" ht="12.75">
      <c r="A13" s="1" t="s">
        <v>114</v>
      </c>
      <c r="B13" s="1" t="s">
        <v>115</v>
      </c>
      <c r="C13" s="1" t="s">
        <v>116</v>
      </c>
      <c r="D13" s="1" t="s">
        <v>117</v>
      </c>
      <c r="E13" s="1" t="s">
        <v>118</v>
      </c>
      <c r="F13" s="29" t="s">
        <v>119</v>
      </c>
      <c r="G13" s="1" t="s">
        <v>120</v>
      </c>
      <c r="H13" s="1" t="s">
        <v>121</v>
      </c>
      <c r="I13" s="1" t="s">
        <v>122</v>
      </c>
    </row>
    <row r="14" spans="1:9" ht="12.75">
      <c r="A14" s="30">
        <v>1</v>
      </c>
      <c r="B14" s="31">
        <f>Equipment!$B$26</f>
        <v>0</v>
      </c>
      <c r="C14" s="32" t="str">
        <f>CONCATENATE(Equipment!$B$27," mm")</f>
        <v> mm</v>
      </c>
      <c r="D14" s="33" t="e">
        <f ca="1">OFFSET(Equipment!$B$11,0,($C$9-1))/Equipment!$B$27</f>
        <v>#VALUE!</v>
      </c>
      <c r="E14" s="34" t="e">
        <f>Equipment!$B$28/D14</f>
        <v>#VALUE!</v>
      </c>
      <c r="F14" s="33" t="e">
        <f ca="1">Equipment!$B$27/OFFSET(Equipment!$B$10,0,($C$9-1))</f>
        <v>#VALUE!</v>
      </c>
      <c r="G14" s="33" t="e">
        <f ca="1">(Equipment!$B$72-2)+(2.5*LOG10(OFFSET(Equipment!$B$9,0,($C$9-1))*D14*OFFSET(Equipment!$B$12,0,($C$9-1))*Equipment!$B$29))</f>
        <v>#VALUE!</v>
      </c>
      <c r="H14" s="10" t="e">
        <f>IF((AND($F14&lt;=Equipment!$B$57,$F14&gt;Equipment!$B$73)),"YES","NO")</f>
        <v>#VALUE!</v>
      </c>
      <c r="I14" s="10" t="e">
        <f>IF((AND($F14&lt;=Equipment!$B$57,$F14&gt;=Equipment!$B$74,$F14&lt;=Equipment!$B$75)),"YES","NO")</f>
        <v>#VALUE!</v>
      </c>
    </row>
    <row r="15" spans="1:9" ht="12.75">
      <c r="A15" s="30">
        <v>2</v>
      </c>
      <c r="B15" s="31">
        <f>Equipment!$C$26</f>
        <v>0</v>
      </c>
      <c r="C15" s="32" t="str">
        <f>CONCATENATE(Equipment!$C$27," mm")</f>
        <v> mm</v>
      </c>
      <c r="D15" s="33" t="e">
        <f ca="1">OFFSET(Equipment!$B$11,0,($C$9-1))/Equipment!$C$27</f>
        <v>#VALUE!</v>
      </c>
      <c r="E15" s="34" t="e">
        <f>Equipment!$C$28/D15</f>
        <v>#VALUE!</v>
      </c>
      <c r="F15" s="33" t="e">
        <f ca="1">Equipment!$C$27/OFFSET(Equipment!$B$10,0,($C$9-1))</f>
        <v>#VALUE!</v>
      </c>
      <c r="G15" s="33" t="e">
        <f ca="1">(Equipment!$B$72-2)+(2.5*LOG10(OFFSET(Equipment!$B$9,0,($C$9-1))*D15*OFFSET(Equipment!$B$12,0,($C$9-1))*Equipment!$C$29))</f>
        <v>#VALUE!</v>
      </c>
      <c r="H15" s="10" t="e">
        <f>IF((AND($F15&lt;=Equipment!$B$57,$F15&gt;Equipment!$B$73)),"YES","NO")</f>
        <v>#VALUE!</v>
      </c>
      <c r="I15" s="10" t="e">
        <f>IF((AND($F15&lt;=Equipment!$B$57,$F15&gt;=Equipment!$B$74,$F15&lt;=Equipment!$B$75)),"YES","NO")</f>
        <v>#VALUE!</v>
      </c>
    </row>
    <row r="16" spans="1:9" ht="12.75">
      <c r="A16" s="30">
        <v>3</v>
      </c>
      <c r="B16" s="31">
        <f>Equipment!$D$26</f>
        <v>0</v>
      </c>
      <c r="C16" s="32" t="str">
        <f>CONCATENATE(Equipment!$D$27," mm")</f>
        <v> mm</v>
      </c>
      <c r="D16" s="33" t="e">
        <f ca="1">OFFSET(Equipment!$B$11,0,($C$9-1))/Equipment!$D$27</f>
        <v>#VALUE!</v>
      </c>
      <c r="E16" s="34" t="e">
        <f>Equipment!$D$28/D16</f>
        <v>#VALUE!</v>
      </c>
      <c r="F16" s="33" t="e">
        <f ca="1">Equipment!$D$27/OFFSET(Equipment!$B$10,0,($C$9-1))</f>
        <v>#VALUE!</v>
      </c>
      <c r="G16" s="33" t="e">
        <f ca="1">(Equipment!$B$72-2)+(2.5*LOG10(OFFSET(Equipment!$B$9,0,($C$9-1))*D16*OFFSET(Equipment!$B$12,0,($C$9-1))*Equipment!$D$29))</f>
        <v>#VALUE!</v>
      </c>
      <c r="H16" s="10" t="e">
        <f>IF((AND($F16&lt;=Equipment!$B$57,$F16&gt;Equipment!$B$73)),"YES","NO")</f>
        <v>#VALUE!</v>
      </c>
      <c r="I16" s="10" t="e">
        <f>IF((AND($F16&lt;=Equipment!$B$57,$F16&gt;=Equipment!$B$74,$F16&lt;=Equipment!$B$75)),"YES","NO")</f>
        <v>#VALUE!</v>
      </c>
    </row>
    <row r="17" spans="1:9" ht="12.75">
      <c r="A17" s="30">
        <v>4</v>
      </c>
      <c r="B17" s="31">
        <f>Equipment!$E$26</f>
        <v>0</v>
      </c>
      <c r="C17" s="32" t="str">
        <f>CONCATENATE(Equipment!$E$27," mm")</f>
        <v> mm</v>
      </c>
      <c r="D17" s="33" t="e">
        <f ca="1">OFFSET(Equipment!$B$11,0,($C$9-1))/Equipment!$E$27</f>
        <v>#VALUE!</v>
      </c>
      <c r="E17" s="34" t="e">
        <f>Equipment!$E$28/D17</f>
        <v>#VALUE!</v>
      </c>
      <c r="F17" s="33" t="e">
        <f ca="1">Equipment!$E$27/OFFSET(Equipment!$B$10,0,($C$9-1))</f>
        <v>#VALUE!</v>
      </c>
      <c r="G17" s="33" t="e">
        <f ca="1">(Equipment!$B$72-2)+(2.5*LOG10(OFFSET(Equipment!$B$9,0,($C$9-1))*D17*OFFSET(Equipment!$B$12,0,($C$9-1))*Equipment!$E$29))</f>
        <v>#VALUE!</v>
      </c>
      <c r="H17" s="10" t="e">
        <f>IF((AND($F17&lt;=Equipment!$B$57,$F17&gt;Equipment!$B$73)),"YES","NO")</f>
        <v>#VALUE!</v>
      </c>
      <c r="I17" s="10" t="e">
        <f>IF((AND($F17&lt;=Equipment!$B$57,$F17&gt;=Equipment!$B$74,$F17&lt;=Equipment!$B$75)),"YES","NO")</f>
        <v>#VALUE!</v>
      </c>
    </row>
    <row r="18" spans="1:9" ht="12.75">
      <c r="A18" s="30">
        <v>5</v>
      </c>
      <c r="B18" s="31">
        <f>Equipment!$F$26</f>
        <v>0</v>
      </c>
      <c r="C18" s="32" t="str">
        <f>CONCATENATE(Equipment!$F$27," mm")</f>
        <v> mm</v>
      </c>
      <c r="D18" s="33" t="e">
        <f ca="1">OFFSET(Equipment!$B$11,0,($C$9-1))/Equipment!$F$27</f>
        <v>#VALUE!</v>
      </c>
      <c r="E18" s="34" t="e">
        <f>Equipment!$F$28/D18</f>
        <v>#VALUE!</v>
      </c>
      <c r="F18" s="33" t="e">
        <f ca="1">Equipment!$F$27/OFFSET(Equipment!$B$10,0,($C$9-1))</f>
        <v>#VALUE!</v>
      </c>
      <c r="G18" s="33" t="e">
        <f ca="1">(Equipment!$B$72-2)+(2.5*LOG10(OFFSET(Equipment!$B$9,0,($C$9-1))*D18*OFFSET(Equipment!$B$12,0,($C$9-1))*Equipment!$F$29))</f>
        <v>#VALUE!</v>
      </c>
      <c r="H18" s="10" t="e">
        <f>IF((AND($F18&lt;=Equipment!$B$57,$F18&gt;Equipment!$B$73)),"YES","NO")</f>
        <v>#VALUE!</v>
      </c>
      <c r="I18" s="10" t="e">
        <f>IF((AND($F18&lt;=Equipment!$B$57,$F18&gt;=Equipment!$B$74,$F18&lt;=Equipment!$B$75)),"YES","NO")</f>
        <v>#VALUE!</v>
      </c>
    </row>
    <row r="19" spans="1:9" ht="12.75">
      <c r="A19" s="30">
        <v>6</v>
      </c>
      <c r="B19" s="31">
        <f>Equipment!$G$26</f>
        <v>0</v>
      </c>
      <c r="C19" s="32" t="str">
        <f>CONCATENATE(Equipment!$G$27," mm")</f>
        <v> mm</v>
      </c>
      <c r="D19" s="33" t="e">
        <f ca="1">OFFSET(Equipment!$B$11,0,($C$9-1))/Equipment!$G$27</f>
        <v>#VALUE!</v>
      </c>
      <c r="E19" s="34" t="e">
        <f>Equipment!$G$28/D19</f>
        <v>#VALUE!</v>
      </c>
      <c r="F19" s="33" t="e">
        <f ca="1">Equipment!$G$27/OFFSET(Equipment!$B$10,0,($C$9-1))</f>
        <v>#VALUE!</v>
      </c>
      <c r="G19" s="33" t="e">
        <f ca="1">(Equipment!$B$72-2)+(2.5*LOG10(OFFSET(Equipment!$B$9,0,($C$9-1))*D19*OFFSET(Equipment!$B$12,0,($C$9-1))*Equipment!$G$29))</f>
        <v>#VALUE!</v>
      </c>
      <c r="H19" s="10" t="e">
        <f>IF((AND($F19&lt;=Equipment!$B$57,$F19&gt;Equipment!$B$73)),"YES","NO")</f>
        <v>#VALUE!</v>
      </c>
      <c r="I19" s="10" t="e">
        <f>IF((AND($F19&lt;=Equipment!$B$57,$F19&gt;=Equipment!$B$74,$F19&lt;=Equipment!$B$75)),"YES","NO")</f>
        <v>#VALUE!</v>
      </c>
    </row>
    <row r="20" spans="1:9" ht="12.75">
      <c r="A20" s="30">
        <v>7</v>
      </c>
      <c r="B20" s="31">
        <f>Equipment!$H$26</f>
        <v>0</v>
      </c>
      <c r="C20" s="32" t="str">
        <f>CONCATENATE(Equipment!$H$27," mm")</f>
        <v> mm</v>
      </c>
      <c r="D20" s="33" t="e">
        <f ca="1">OFFSET(Equipment!$B$11,0,($C$9-1))/Equipment!$H$27</f>
        <v>#VALUE!</v>
      </c>
      <c r="E20" s="34" t="e">
        <f>Equipment!$H$28/D20</f>
        <v>#VALUE!</v>
      </c>
      <c r="F20" s="33" t="e">
        <f ca="1">Equipment!$H$27/OFFSET(Equipment!$B$10,0,($C$9-1))</f>
        <v>#VALUE!</v>
      </c>
      <c r="G20" s="33" t="e">
        <f ca="1">(Equipment!$B$72-2)+(2.5*LOG10(OFFSET(Equipment!$B$9,0,($C$9-1))*D20*OFFSET(Equipment!$B$12,0,($C$9-1))*Equipment!$H$29))</f>
        <v>#VALUE!</v>
      </c>
      <c r="H20" s="10" t="e">
        <f>IF((AND($F20&lt;=Equipment!$B$57,$F20&gt;Equipment!$B$73)),"YES","NO")</f>
        <v>#VALUE!</v>
      </c>
      <c r="I20" s="10" t="e">
        <f>IF((AND($F20&lt;=Equipment!$B$57,$F20&gt;=Equipment!$B$74,$F20&lt;=Equipment!$B$75)),"YES","NO")</f>
        <v>#VALUE!</v>
      </c>
    </row>
    <row r="21" spans="1:9" ht="12.75">
      <c r="A21" s="30">
        <v>8</v>
      </c>
      <c r="B21" s="31">
        <f>Equipment!$I$26</f>
        <v>0</v>
      </c>
      <c r="C21" s="32" t="str">
        <f>CONCATENATE(Equipment!$I$27," mm")</f>
        <v> mm</v>
      </c>
      <c r="D21" s="33" t="e">
        <f ca="1">OFFSET(Equipment!$B$11,0,($C$9-1))/Equipment!$I$27</f>
        <v>#VALUE!</v>
      </c>
      <c r="E21" s="34" t="e">
        <f>Equipment!$I$28/D21</f>
        <v>#VALUE!</v>
      </c>
      <c r="F21" s="33" t="e">
        <f ca="1">Equipment!$I$27/OFFSET(Equipment!$B$10,0,($C$9-1))</f>
        <v>#VALUE!</v>
      </c>
      <c r="G21" s="33" t="e">
        <f ca="1">(Equipment!$B$72-2)+(2.5*LOG10(OFFSET(Equipment!$B$9,0,($C$9-1))*D21*OFFSET(Equipment!$B$12,0,($C$9-1))*Equipment!$I$29))</f>
        <v>#VALUE!</v>
      </c>
      <c r="H21" s="10" t="e">
        <f>IF((AND($F21&lt;=Equipment!$B$57,$F21&gt;Equipment!$B$73)),"YES","NO")</f>
        <v>#VALUE!</v>
      </c>
      <c r="I21" s="10" t="e">
        <f>IF((AND($F21&lt;=Equipment!$B$57,$F21&gt;=Equipment!$B$74,$F21&lt;=Equipment!$B$75)),"YES","NO")</f>
        <v>#VALUE!</v>
      </c>
    </row>
    <row r="22" spans="1:9" ht="12.75">
      <c r="A22" s="30">
        <v>9</v>
      </c>
      <c r="B22" s="31">
        <f>Equipment!$J$26</f>
        <v>0</v>
      </c>
      <c r="C22" s="32" t="str">
        <f>CONCATENATE(Equipment!$J$27," mm")</f>
        <v> mm</v>
      </c>
      <c r="D22" s="33" t="e">
        <f ca="1">OFFSET(Equipment!$B$11,0,($C$9-1))/Equipment!$J$27</f>
        <v>#VALUE!</v>
      </c>
      <c r="E22" s="34" t="e">
        <f>Equipment!$J$28/D22</f>
        <v>#VALUE!</v>
      </c>
      <c r="F22" s="33" t="e">
        <f ca="1">Equipment!$J$27/OFFSET(Equipment!$B$10,0,($C$9-1))</f>
        <v>#VALUE!</v>
      </c>
      <c r="G22" s="33" t="e">
        <f ca="1">(Equipment!$B$72-2)+(2.5*LOG10(OFFSET(Equipment!$B$9,0,($C$9-1))*D22*OFFSET(Equipment!$B$12,0,($C$9-1))*Equipment!$J$29))</f>
        <v>#VALUE!</v>
      </c>
      <c r="H22" s="10" t="e">
        <f>IF((AND($F22&lt;=Equipment!$B$57,$F22&gt;Equipment!$B$73)),"YES","NO")</f>
        <v>#VALUE!</v>
      </c>
      <c r="I22" s="10" t="e">
        <f>IF((AND($F22&lt;=Equipment!$B$57,$F22&gt;=Equipment!$B$74,$F22&lt;=Equipment!$B$75)),"YES","NO")</f>
        <v>#VALUE!</v>
      </c>
    </row>
    <row r="23" spans="1:9" ht="12.75">
      <c r="A23" s="30">
        <v>10</v>
      </c>
      <c r="B23" s="31">
        <f>Equipment!$K$26</f>
        <v>0</v>
      </c>
      <c r="C23" s="32" t="str">
        <f>CONCATENATE(Equipment!$K$27," mm")</f>
        <v> mm</v>
      </c>
      <c r="D23" s="33" t="e">
        <f ca="1">OFFSET(Equipment!$B$11,0,($C$9-1))/Equipment!$K$27</f>
        <v>#VALUE!</v>
      </c>
      <c r="E23" s="34" t="e">
        <f>Equipment!$K$28/D23</f>
        <v>#VALUE!</v>
      </c>
      <c r="F23" s="33" t="e">
        <f ca="1">Equipment!$K$27/OFFSET(Equipment!$B$10,0,($C$9-1))</f>
        <v>#VALUE!</v>
      </c>
      <c r="G23" s="33" t="e">
        <f ca="1">(Equipment!$B$72-2)+(2.5*LOG10(OFFSET(Equipment!$B$9,0,($C$9-1))*D23*OFFSET(Equipment!$B$12,0,($C$9-1))*Equipment!$K$29))</f>
        <v>#VALUE!</v>
      </c>
      <c r="H23" s="10" t="e">
        <f>IF((AND($F23&lt;=Equipment!$B$57,$F23&gt;Equipment!$B$73)),"YES","NO")</f>
        <v>#VALUE!</v>
      </c>
      <c r="I23" s="10" t="e">
        <f>IF((AND($F23&lt;=Equipment!$B$57,$F23&gt;=Equipment!$B$74,$F23&lt;=Equipment!$B$75)),"YES","NO")</f>
        <v>#VALUE!</v>
      </c>
    </row>
    <row r="24" spans="1:9" ht="12.75">
      <c r="A24" s="4" t="s">
        <v>9</v>
      </c>
      <c r="B24" s="35">
        <f>Equipment!$K$26</f>
        <v>0</v>
      </c>
      <c r="C24" s="36" t="str">
        <f>CONCATENATE(Equipment!$K$27," mm")</f>
        <v> mm</v>
      </c>
      <c r="D24" s="21" t="e">
        <f ca="1">OFFSET(Equipment!$B$11,0,($C$9-1))/Equipment!$K$27</f>
        <v>#VALUE!</v>
      </c>
      <c r="E24" s="23" t="e">
        <f>Equipment!$K$28/D24</f>
        <v>#VALUE!</v>
      </c>
      <c r="F24" s="21" t="e">
        <f ca="1">Equipment!$K$27/OFFSET(Equipment!$B$10,0,($C$9-1))</f>
        <v>#VALUE!</v>
      </c>
      <c r="G24" s="21" t="e">
        <f ca="1">(Equipment!$B$72-2)+(2.5*LOG10(OFFSET(Equipment!$B$9,0,($C$9-1))*D24*OFFSET(Equipment!$B$12,0,($C$9-1))*Equipment!$K$29))</f>
        <v>#VALUE!</v>
      </c>
      <c r="H24" s="19" t="e">
        <f>IF((AND($F24&lt;=Equipment!$B$57,$F24&gt;Equipment!$B$73)),"YES","NO")</f>
        <v>#VALUE!</v>
      </c>
      <c r="I24" s="19" t="e">
        <f>IF((AND($F24&lt;=Equipment!$B$57,$F24&gt;=Equipment!$B$74,$F24&lt;=Equipment!$B$75)),"YES","NO")</f>
        <v>#VALUE!</v>
      </c>
    </row>
    <row r="25" spans="4:9" ht="12.75">
      <c r="D25" s="37"/>
      <c r="E25" s="38"/>
      <c r="F25" s="37"/>
      <c r="G25" s="37"/>
      <c r="H25" s="12"/>
      <c r="I25" s="12"/>
    </row>
    <row r="26" ht="12.75">
      <c r="A26" s="39" t="s">
        <v>123</v>
      </c>
    </row>
    <row r="27" ht="12.75">
      <c r="J27" s="1"/>
    </row>
    <row r="28" ht="12.75">
      <c r="A28" s="40"/>
    </row>
    <row r="29" ht="12.75">
      <c r="B29" s="41"/>
    </row>
    <row r="40" ht="12.75">
      <c r="J40" s="1"/>
    </row>
    <row r="53" ht="12.75">
      <c r="J53" s="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42" sqref="B42"/>
    </sheetView>
  </sheetViews>
  <sheetFormatPr defaultColWidth="12.57421875" defaultRowHeight="12.75"/>
  <cols>
    <col min="1" max="1" width="18.00390625" style="1" customWidth="1"/>
    <col min="2" max="3" width="13.57421875" style="0" customWidth="1"/>
    <col min="4" max="6" width="11.57421875" style="0" customWidth="1"/>
    <col min="7" max="7" width="12.140625" style="0" customWidth="1"/>
    <col min="8" max="16384" width="11.57421875" style="0" customWidth="1"/>
  </cols>
  <sheetData>
    <row r="1" ht="12.75">
      <c r="A1" s="2" t="s">
        <v>124</v>
      </c>
    </row>
    <row r="3" spans="1:3" ht="12.75">
      <c r="A3" s="1" t="s">
        <v>105</v>
      </c>
      <c r="B3" s="1" t="s">
        <v>106</v>
      </c>
      <c r="C3" s="1" t="s">
        <v>107</v>
      </c>
    </row>
    <row r="4" spans="1:3" ht="12.75">
      <c r="A4" s="26" t="s">
        <v>108</v>
      </c>
      <c r="B4" s="27">
        <f>Equipment!$B$7</f>
        <v>0</v>
      </c>
      <c r="C4" s="27" t="str">
        <f>CONCATENATE(Equipment!$B$9," mm")</f>
        <v> mm</v>
      </c>
    </row>
    <row r="5" spans="1:3" ht="12.75">
      <c r="A5" s="26" t="s">
        <v>109</v>
      </c>
      <c r="B5" s="27">
        <f>Equipment!$C$7</f>
        <v>0</v>
      </c>
      <c r="C5" s="27" t="str">
        <f>CONCATENATE(Equipment!$C$9," mm")</f>
        <v> mm</v>
      </c>
    </row>
    <row r="6" spans="1:3" ht="12.75">
      <c r="A6" s="26" t="s">
        <v>110</v>
      </c>
      <c r="B6" s="27">
        <f>Equipment!$D$7</f>
        <v>0</v>
      </c>
      <c r="C6" s="27" t="str">
        <f>CONCATENATE(Equipment!$D$9," mm")</f>
        <v> mm</v>
      </c>
    </row>
    <row r="7" spans="1:3" ht="12.75">
      <c r="A7" s="26" t="s">
        <v>111</v>
      </c>
      <c r="B7" s="27">
        <f>Equipment!$E$7</f>
        <v>0</v>
      </c>
      <c r="C7" s="27" t="str">
        <f>CONCATENATE(Equipment!$E$9," mm")</f>
        <v> mm</v>
      </c>
    </row>
    <row r="8" spans="2:3" ht="12.75">
      <c r="B8" s="1"/>
      <c r="C8" s="1"/>
    </row>
    <row r="9" spans="1:3" ht="12.75">
      <c r="A9" s="1" t="s">
        <v>112</v>
      </c>
      <c r="B9" s="1"/>
      <c r="C9" s="5"/>
    </row>
    <row r="11" spans="1:3" ht="12.75">
      <c r="A11" s="1" t="s">
        <v>125</v>
      </c>
      <c r="B11" s="1" t="s">
        <v>126</v>
      </c>
      <c r="C11" s="1"/>
    </row>
    <row r="12" spans="1:3" ht="12.75">
      <c r="A12" s="26" t="s">
        <v>108</v>
      </c>
      <c r="B12" s="27">
        <f>Equipment!$B$44</f>
      </c>
      <c r="C12" s="30"/>
    </row>
    <row r="13" spans="1:3" ht="12.75">
      <c r="A13" s="26" t="s">
        <v>109</v>
      </c>
      <c r="B13" s="27">
        <f>Equipment!$C$44</f>
      </c>
      <c r="C13" s="30"/>
    </row>
    <row r="14" spans="1:3" ht="12.75">
      <c r="A14" s="26" t="s">
        <v>110</v>
      </c>
      <c r="B14" s="27">
        <f>Equipment!$D$44</f>
      </c>
      <c r="C14" s="30"/>
    </row>
    <row r="15" spans="1:3" ht="12.75">
      <c r="A15" s="26" t="s">
        <v>111</v>
      </c>
      <c r="B15" s="27">
        <f>Equipment!$E$44</f>
      </c>
      <c r="C15" s="30"/>
    </row>
    <row r="16" spans="2:3" ht="12.75">
      <c r="B16" s="1"/>
      <c r="C16" s="1"/>
    </row>
    <row r="17" spans="1:3" ht="12.75">
      <c r="A17" s="1" t="s">
        <v>127</v>
      </c>
      <c r="B17" s="1"/>
      <c r="C17" s="5"/>
    </row>
    <row r="18" spans="2:3" ht="12.75">
      <c r="B18" s="1"/>
      <c r="C18" s="42"/>
    </row>
    <row r="19" spans="1:3" ht="12.75">
      <c r="A19" s="1" t="s">
        <v>128</v>
      </c>
      <c r="B19" s="1"/>
      <c r="C19" s="42"/>
    </row>
    <row r="20" spans="1:3" ht="12.75">
      <c r="A20" s="1" t="s">
        <v>113</v>
      </c>
      <c r="B20" s="28" t="str">
        <f ca="1">IF(AND($C$9&gt;0,$C$9&lt;5),OFFSET(Equipment!$B$7,0,($C$9-1)),"undefined")</f>
        <v>undefined</v>
      </c>
      <c r="C20" s="27" t="str">
        <f ca="1">IF(AND($C$9&gt;0,$C$9&lt;5),CONCATENATE(OFFSET(Equipment!$B$9,0,($C$9-1))," mm"),"undefined")</f>
        <v>undefined</v>
      </c>
    </row>
    <row r="21" spans="1:2" ht="12.75">
      <c r="A21" s="1" t="s">
        <v>129</v>
      </c>
      <c r="B21" s="28" t="str">
        <f ca="1">IF(AND($C$17&gt;0,$C$17&lt;5),OFFSET(Equipment!$B$44,0,($C$17-1)),"undefined")</f>
        <v>undefined</v>
      </c>
    </row>
    <row r="22" ht="12.75">
      <c r="F22" s="4" t="s">
        <v>9</v>
      </c>
    </row>
    <row r="23" spans="1:8" s="1" customFormat="1" ht="12.75">
      <c r="A23" s="1" t="s">
        <v>130</v>
      </c>
      <c r="B23" s="34" t="e">
        <f ca="1">(OFFSET(Equipment!$B$47,0,($C$17-1))*57.3)/OFFSET(Equipment!$B$11,0,($C$9-1))</f>
        <v>#VALUE!</v>
      </c>
      <c r="C23" s="39" t="s">
        <v>131</v>
      </c>
      <c r="D23" s="43" t="e">
        <f>CONCATENATE(INT($B23),":",ROUND(($B23-INT($B23))*60,0))</f>
        <v>#VALUE!</v>
      </c>
      <c r="E23" s="1" t="s">
        <v>132</v>
      </c>
      <c r="F23" s="23" t="e">
        <f ca="1">(OFFSET(Equipment!$B$47,0,($C$17-1))*57.3)/OFFSET(Equipment!$B$11,0,($C$9-1))</f>
        <v>#VALUE!</v>
      </c>
      <c r="H23" s="44" t="e">
        <f>CONCATENATE(INT($B23),":",ROUND(($B23-INT($B23))*60,0))</f>
        <v>#VALUE!</v>
      </c>
    </row>
    <row r="24" spans="1:8" s="1" customFormat="1" ht="12.75">
      <c r="A24" s="1" t="s">
        <v>133</v>
      </c>
      <c r="B24" s="34" t="e">
        <f ca="1">(OFFSET(Equipment!$B$48,0,($C$17-1))*57.3)/OFFSET(Equipment!$B$11,0,($C$9-1))</f>
        <v>#VALUE!</v>
      </c>
      <c r="C24" s="39" t="s">
        <v>131</v>
      </c>
      <c r="D24" s="43" t="e">
        <f>CONCATENATE(INT($B24),":",ROUND(($B24-INT($B24))*60,0))</f>
        <v>#VALUE!</v>
      </c>
      <c r="E24" s="1" t="s">
        <v>132</v>
      </c>
      <c r="F24" s="23" t="e">
        <f ca="1">(OFFSET(Equipment!$B$48,0,($C$17-1))*57.3)/OFFSET(Equipment!$B$11,0,($C$9-1))</f>
        <v>#VALUE!</v>
      </c>
      <c r="H24" s="44" t="e">
        <f>CONCATENATE(INT($B24),":",ROUND(($B24-INT($B24))*60,0))</f>
        <v>#VALUE!</v>
      </c>
    </row>
    <row r="25" spans="1:5" s="1" customFormat="1" ht="12.75">
      <c r="A25" s="42"/>
      <c r="B25" s="45"/>
      <c r="C25" s="45"/>
      <c r="D25" s="45"/>
      <c r="E25" s="45"/>
    </row>
    <row r="26" spans="1:7" ht="12.75">
      <c r="A26" s="45" t="s">
        <v>134</v>
      </c>
      <c r="B26" s="11" t="e">
        <f ca="1">OFFSET(Equipment!$B$49,0,($C$17-1))*206.28/OFFSET(Equipment!$B$11,0,($C$9-1))</f>
        <v>#VALUE!</v>
      </c>
      <c r="C26" s="12" t="s">
        <v>135</v>
      </c>
      <c r="D26" s="12"/>
      <c r="E26" s="12"/>
      <c r="F26" s="46" t="e">
        <f ca="1">OFFSET(Equipment!$B$49,0,($C$17-1))*206.28/OFFSET(Equipment!$B$11,0,($C$9-1))</f>
        <v>#VALUE!</v>
      </c>
      <c r="G26" s="12"/>
    </row>
    <row r="27" spans="1:6" ht="12.75">
      <c r="A27" s="45" t="s">
        <v>136</v>
      </c>
      <c r="B27" s="11" t="e">
        <f ca="1">OFFSET(Equipment!$B$50,0,($C$17-1))*206.28/OFFSET(Equipment!$B$11,0,($C$9-1))</f>
        <v>#VALUE!</v>
      </c>
      <c r="C27" s="12" t="s">
        <v>135</v>
      </c>
      <c r="D27" s="12"/>
      <c r="E27" s="12"/>
      <c r="F27" s="46" t="e">
        <f ca="1">OFFSET(Equipment!$B$50,0,($C$17-1))*206.28/OFFSET(Equipment!$B$11,0,($C$9-1))</f>
        <v>#VALUE!</v>
      </c>
    </row>
    <row r="28" spans="1:5" ht="12.75">
      <c r="A28" s="45"/>
      <c r="B28" s="12"/>
      <c r="C28" s="12"/>
      <c r="D28" s="12"/>
      <c r="E28" s="12"/>
    </row>
    <row r="29" spans="1:5" ht="12.75">
      <c r="A29" s="45" t="s">
        <v>137</v>
      </c>
      <c r="B29" s="12"/>
      <c r="C29" s="12"/>
      <c r="D29" s="12"/>
      <c r="E29" s="12"/>
    </row>
    <row r="30" spans="1:6" ht="12.75">
      <c r="A30" s="45" t="s">
        <v>138</v>
      </c>
      <c r="B30" s="11" t="e">
        <f ca="1">OFFSET(Equipment!$B$14,0,($C$9-1))/OFFSET(Equipment!$B$49,0,($C$17-1))</f>
        <v>#VALUE!</v>
      </c>
      <c r="C30" s="12" t="s">
        <v>139</v>
      </c>
      <c r="D30" s="12"/>
      <c r="E30" s="12"/>
      <c r="F30" s="46" t="e">
        <f ca="1">OFFSET(Equipment!$B$14,0,($C$9-1))/OFFSET(Equipment!$B$49,0,($C$17-1))</f>
        <v>#VALUE!</v>
      </c>
    </row>
    <row r="31" spans="1:6" ht="12.75">
      <c r="A31" s="45" t="s">
        <v>140</v>
      </c>
      <c r="B31" s="11" t="e">
        <f>Equipment!$B$70/$B$26</f>
        <v>#VALUE!</v>
      </c>
      <c r="C31" s="12" t="s">
        <v>139</v>
      </c>
      <c r="D31" s="12"/>
      <c r="E31" s="12"/>
      <c r="F31" s="46" t="e">
        <f>Equipment!$B$70/$B$26</f>
        <v>#VALUE!</v>
      </c>
    </row>
    <row r="32" spans="1:6" ht="12.75">
      <c r="A32" s="45" t="s">
        <v>141</v>
      </c>
      <c r="B32" s="11" t="e">
        <f>Equipment!$B$71/$B$26</f>
        <v>#VALUE!</v>
      </c>
      <c r="C32" s="12" t="s">
        <v>139</v>
      </c>
      <c r="D32" s="12"/>
      <c r="E32" s="12"/>
      <c r="F32" s="46" t="e">
        <f>Equipment!$B$71/$B$26</f>
        <v>#VALUE!</v>
      </c>
    </row>
    <row r="33" spans="1:5" ht="12.75">
      <c r="A33" s="45"/>
      <c r="B33" s="12"/>
      <c r="C33" s="12"/>
      <c r="D33" s="12"/>
      <c r="E33" s="12"/>
    </row>
    <row r="34" spans="1:5" ht="12.75">
      <c r="A34" s="45" t="s">
        <v>142</v>
      </c>
      <c r="B34" s="12"/>
      <c r="C34" s="12"/>
      <c r="D34" s="12"/>
      <c r="E34" s="12"/>
    </row>
    <row r="35" spans="1:5" ht="12.75">
      <c r="A35" s="45" t="s">
        <v>143</v>
      </c>
      <c r="B35" s="12"/>
      <c r="C35" s="12"/>
      <c r="D35" s="12"/>
      <c r="E35" s="12"/>
    </row>
    <row r="36" spans="1:5" ht="12.75">
      <c r="A36" s="45" t="s">
        <v>144</v>
      </c>
      <c r="B36" s="12"/>
      <c r="C36" s="12"/>
      <c r="D36" s="12"/>
      <c r="E36" s="12"/>
    </row>
    <row r="38" spans="1:2" ht="12.75">
      <c r="A38" s="1" t="s">
        <v>145</v>
      </c>
      <c r="B38" t="s">
        <v>146</v>
      </c>
    </row>
    <row r="39" ht="12.75">
      <c r="B39" t="s">
        <v>147</v>
      </c>
    </row>
    <row r="40" spans="1:2" ht="12.75">
      <c r="A40" s="1" t="s">
        <v>145</v>
      </c>
      <c r="B40" t="s">
        <v>148</v>
      </c>
    </row>
    <row r="41" spans="1:2" ht="12.75">
      <c r="A41" s="1" t="s">
        <v>145</v>
      </c>
      <c r="B41" t="s">
        <v>149</v>
      </c>
    </row>
    <row r="42" ht="12.75">
      <c r="B42" t="s">
        <v>150</v>
      </c>
    </row>
    <row r="43" ht="12.75">
      <c r="B43" t="s">
        <v>151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9"/>
  <sheetViews>
    <sheetView workbookViewId="0" topLeftCell="A1">
      <selection activeCell="C108" sqref="C108"/>
    </sheetView>
  </sheetViews>
  <sheetFormatPr defaultColWidth="12.57421875" defaultRowHeight="12.75"/>
  <cols>
    <col min="1" max="1" width="22.140625" style="0" customWidth="1"/>
    <col min="2" max="2" width="14.8515625" style="0" customWidth="1"/>
    <col min="3" max="3" width="13.28125" style="0" customWidth="1"/>
    <col min="4" max="16384" width="11.57421875" style="0" customWidth="1"/>
  </cols>
  <sheetData>
    <row r="1" ht="12.75">
      <c r="A1" s="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8" ht="12.75">
      <c r="A8" s="1" t="s">
        <v>157</v>
      </c>
    </row>
    <row r="9" ht="12.75">
      <c r="A9" t="s">
        <v>158</v>
      </c>
    </row>
    <row r="11" spans="1:3" ht="12.75">
      <c r="A11" s="1" t="s">
        <v>105</v>
      </c>
      <c r="B11" s="1" t="s">
        <v>106</v>
      </c>
      <c r="C11" s="1" t="s">
        <v>159</v>
      </c>
    </row>
    <row r="12" spans="1:3" ht="12.75">
      <c r="A12" s="26" t="s">
        <v>108</v>
      </c>
      <c r="B12" s="47">
        <f>Equipment!$B$7</f>
        <v>0</v>
      </c>
      <c r="C12" s="47" t="str">
        <f>CONCATENATE(Equipment!$B$9," mm")</f>
        <v> mm</v>
      </c>
    </row>
    <row r="13" spans="1:3" ht="12.75">
      <c r="A13" s="26" t="s">
        <v>109</v>
      </c>
      <c r="B13" s="47">
        <f>Equipment!$C$7</f>
        <v>0</v>
      </c>
      <c r="C13" s="47" t="str">
        <f>CONCATENATE(Equipment!$C$9," mm")</f>
        <v> mm</v>
      </c>
    </row>
    <row r="14" spans="1:3" ht="12.75">
      <c r="A14" s="26" t="s">
        <v>110</v>
      </c>
      <c r="B14" s="47">
        <f>Equipment!$D$7</f>
        <v>0</v>
      </c>
      <c r="C14" s="47" t="str">
        <f>CONCATENATE(Equipment!$D$9," mm")</f>
        <v> mm</v>
      </c>
    </row>
    <row r="15" spans="1:3" ht="12.75">
      <c r="A15" s="26" t="s">
        <v>111</v>
      </c>
      <c r="B15" s="47">
        <f>Equipment!$E$7</f>
        <v>0</v>
      </c>
      <c r="C15" s="47" t="str">
        <f>CONCATENATE(Equipment!$E$9," mm")</f>
        <v> mm</v>
      </c>
    </row>
    <row r="16" spans="1:3" ht="12.75">
      <c r="A16" s="1"/>
      <c r="B16" s="1"/>
      <c r="C16" s="1"/>
    </row>
    <row r="17" spans="1:3" ht="12.75">
      <c r="A17" s="1" t="s">
        <v>160</v>
      </c>
      <c r="B17" s="1"/>
      <c r="C17" s="5"/>
    </row>
    <row r="18" ht="12.75">
      <c r="A18" s="1"/>
    </row>
    <row r="19" spans="1:3" ht="12.75">
      <c r="A19" s="1" t="s">
        <v>125</v>
      </c>
      <c r="B19" s="1" t="s">
        <v>126</v>
      </c>
      <c r="C19" s="1"/>
    </row>
    <row r="20" spans="1:3" ht="12.75">
      <c r="A20" s="26" t="s">
        <v>108</v>
      </c>
      <c r="B20" s="47">
        <f>Equipment!$B$44</f>
      </c>
      <c r="C20" s="30"/>
    </row>
    <row r="21" spans="1:3" ht="12.75">
      <c r="A21" s="26" t="s">
        <v>109</v>
      </c>
      <c r="B21" s="47">
        <f>Equipment!$C$44</f>
      </c>
      <c r="C21" s="30"/>
    </row>
    <row r="22" spans="1:3" ht="12.75">
      <c r="A22" s="26" t="s">
        <v>110</v>
      </c>
      <c r="B22" s="47">
        <f>Equipment!$D$44</f>
      </c>
      <c r="C22" s="30"/>
    </row>
    <row r="23" spans="1:3" ht="12.75">
      <c r="A23" s="26" t="s">
        <v>111</v>
      </c>
      <c r="B23" s="47">
        <f>Equipment!$E$44</f>
      </c>
      <c r="C23" s="30"/>
    </row>
    <row r="24" spans="1:3" ht="12.75">
      <c r="A24" s="1"/>
      <c r="B24" s="1"/>
      <c r="C24" s="1"/>
    </row>
    <row r="25" spans="1:3" ht="12.75">
      <c r="A25" s="1" t="s">
        <v>161</v>
      </c>
      <c r="B25" s="1"/>
      <c r="C25" s="5"/>
    </row>
    <row r="26" ht="12.75">
      <c r="F26" s="4" t="s">
        <v>9</v>
      </c>
    </row>
    <row r="27" spans="1:6" ht="12.75">
      <c r="A27" s="45" t="s">
        <v>134</v>
      </c>
      <c r="C27" s="11" t="e">
        <f ca="1">OFFSET(Equipment!$B$49,0,($C$25-1))*206.28/OFFSET(Equipment!$B$11,0,($C$17-1))</f>
        <v>#VALUE!</v>
      </c>
      <c r="D27" s="12" t="s">
        <v>135</v>
      </c>
      <c r="F27" s="46" t="e">
        <f ca="1">OFFSET(Equipment!$B$49,0,($C$25-1))*206.28/OFFSET(Equipment!$B$11,0,($C$17-1))</f>
        <v>#VALUE!</v>
      </c>
    </row>
    <row r="29" ht="12.75">
      <c r="A29" t="s">
        <v>162</v>
      </c>
    </row>
    <row r="31" spans="1:4" ht="12.75">
      <c r="A31" s="1" t="s">
        <v>163</v>
      </c>
      <c r="D31" s="6">
        <v>1</v>
      </c>
    </row>
    <row r="33" ht="12.75">
      <c r="A33" t="s">
        <v>164</v>
      </c>
    </row>
    <row r="34" ht="12.75">
      <c r="A34" t="s">
        <v>165</v>
      </c>
    </row>
    <row r="35" ht="12.75">
      <c r="A35" t="s">
        <v>166</v>
      </c>
    </row>
    <row r="37" spans="1:4" ht="12.75">
      <c r="A37" s="1" t="s">
        <v>167</v>
      </c>
      <c r="D37" s="6">
        <v>1</v>
      </c>
    </row>
    <row r="39" ht="12.75">
      <c r="A39" t="s">
        <v>168</v>
      </c>
    </row>
    <row r="40" ht="12.75">
      <c r="A40" t="s">
        <v>169</v>
      </c>
    </row>
    <row r="41" ht="12.75">
      <c r="A41" t="s">
        <v>170</v>
      </c>
    </row>
    <row r="42" ht="12.75">
      <c r="A42" t="s">
        <v>171</v>
      </c>
    </row>
    <row r="43" ht="12.75">
      <c r="A43" t="s">
        <v>172</v>
      </c>
    </row>
    <row r="45" spans="2:6" ht="12.75">
      <c r="B45" s="48" t="s">
        <v>173</v>
      </c>
      <c r="C45" s="48" t="s">
        <v>174</v>
      </c>
      <c r="D45" s="48" t="s">
        <v>175</v>
      </c>
      <c r="E45" s="48" t="s">
        <v>176</v>
      </c>
      <c r="F45" s="48" t="s">
        <v>177</v>
      </c>
    </row>
    <row r="46" spans="2:6" ht="12.75">
      <c r="B46" s="14" t="s">
        <v>178</v>
      </c>
      <c r="C46" s="14" t="s">
        <v>179</v>
      </c>
      <c r="D46" s="14" t="s">
        <v>180</v>
      </c>
      <c r="E46" s="14" t="s">
        <v>181</v>
      </c>
      <c r="F46" s="49">
        <v>0</v>
      </c>
    </row>
    <row r="47" spans="2:6" ht="12.75">
      <c r="B47" s="14" t="s">
        <v>182</v>
      </c>
      <c r="C47" s="14" t="s">
        <v>183</v>
      </c>
      <c r="D47" s="14" t="s">
        <v>184</v>
      </c>
      <c r="E47" s="14" t="s">
        <v>183</v>
      </c>
      <c r="F47" s="49">
        <v>1</v>
      </c>
    </row>
    <row r="48" spans="2:6" ht="12.75">
      <c r="B48" s="14" t="s">
        <v>185</v>
      </c>
      <c r="C48" s="14" t="s">
        <v>186</v>
      </c>
      <c r="D48" s="14" t="s">
        <v>187</v>
      </c>
      <c r="E48" s="14" t="s">
        <v>188</v>
      </c>
      <c r="F48" s="49">
        <v>2</v>
      </c>
    </row>
    <row r="50" ht="12.75">
      <c r="A50" t="s">
        <v>189</v>
      </c>
    </row>
    <row r="51" spans="1:11" ht="12.75">
      <c r="A51" t="s">
        <v>190</v>
      </c>
      <c r="K51" s="12"/>
    </row>
    <row r="52" ht="12.75">
      <c r="A52" t="s">
        <v>191</v>
      </c>
    </row>
    <row r="53" ht="12.75">
      <c r="A53" t="s">
        <v>192</v>
      </c>
    </row>
    <row r="54" ht="12.75">
      <c r="A54" t="s">
        <v>193</v>
      </c>
    </row>
    <row r="55" ht="12.75">
      <c r="A55" t="s">
        <v>194</v>
      </c>
    </row>
    <row r="56" ht="12.75">
      <c r="A56" t="s">
        <v>195</v>
      </c>
    </row>
    <row r="57" ht="12.75">
      <c r="A57" t="s">
        <v>196</v>
      </c>
    </row>
    <row r="58" ht="12.75">
      <c r="A58" t="s">
        <v>197</v>
      </c>
    </row>
    <row r="59" ht="12.75">
      <c r="A59" t="s">
        <v>198</v>
      </c>
    </row>
    <row r="60" ht="12.75">
      <c r="A60" t="s">
        <v>199</v>
      </c>
    </row>
    <row r="61" ht="12.75">
      <c r="A61" t="s">
        <v>200</v>
      </c>
    </row>
    <row r="62" ht="12.75">
      <c r="A62" t="s">
        <v>201</v>
      </c>
    </row>
    <row r="63" ht="12.75">
      <c r="A63" t="s">
        <v>202</v>
      </c>
    </row>
    <row r="64" ht="12.75">
      <c r="A64" s="1"/>
    </row>
    <row r="65" spans="1:2" ht="12.75">
      <c r="A65" s="1" t="s">
        <v>203</v>
      </c>
      <c r="B65" t="s">
        <v>204</v>
      </c>
    </row>
    <row r="66" spans="1:6" ht="12.75">
      <c r="A66" s="1" t="s">
        <v>205</v>
      </c>
      <c r="B66" s="6"/>
      <c r="C66" t="s">
        <v>206</v>
      </c>
      <c r="F66" s="4" t="s">
        <v>9</v>
      </c>
    </row>
    <row r="67" spans="1:6" ht="12.75">
      <c r="A67" s="1" t="s">
        <v>207</v>
      </c>
      <c r="B67" s="11" t="e">
        <f>B66*$C$27</f>
        <v>#VALUE!</v>
      </c>
      <c r="C67" t="s">
        <v>208</v>
      </c>
      <c r="F67" s="46" t="e">
        <f>F66*$C$27</f>
        <v>#VALUE!</v>
      </c>
    </row>
    <row r="68" spans="1:2" ht="12.75">
      <c r="A68" s="1"/>
      <c r="B68" s="12"/>
    </row>
    <row r="69" spans="1:2" ht="12.75">
      <c r="A69" s="39" t="s">
        <v>209</v>
      </c>
      <c r="B69" s="12"/>
    </row>
    <row r="70" spans="1:2" s="39" customFormat="1" ht="12.75">
      <c r="A70" s="39" t="s">
        <v>210</v>
      </c>
      <c r="B70" s="16"/>
    </row>
    <row r="71" spans="1:2" ht="12.75">
      <c r="A71" s="1"/>
      <c r="B71" s="12"/>
    </row>
    <row r="72" spans="1:7" ht="12.75">
      <c r="A72" s="1" t="s">
        <v>211</v>
      </c>
      <c r="B72" s="6"/>
      <c r="C72" s="6"/>
      <c r="D72" s="6"/>
      <c r="E72" s="6"/>
      <c r="F72" s="6"/>
      <c r="G72" s="6"/>
    </row>
    <row r="73" spans="1:7" ht="12.75">
      <c r="A73" s="1"/>
      <c r="B73" s="6"/>
      <c r="C73" s="6"/>
      <c r="D73" s="6"/>
      <c r="E73" s="6"/>
      <c r="F73" s="6"/>
      <c r="G73" s="6"/>
    </row>
    <row r="74" spans="1:2" ht="12.75">
      <c r="A74" s="1"/>
      <c r="B74" s="12"/>
    </row>
    <row r="75" spans="1:6" ht="12.75">
      <c r="A75" s="1"/>
      <c r="B75" s="12"/>
      <c r="F75" s="4" t="s">
        <v>9</v>
      </c>
    </row>
    <row r="76" spans="1:6" ht="12.75">
      <c r="A76" s="1" t="s">
        <v>212</v>
      </c>
      <c r="B76" s="10" t="e">
        <f>AVERAGE(B72:G73)</f>
        <v>#DIV/0!</v>
      </c>
      <c r="F76" s="19" t="e">
        <f>AVERAGE(F72:K73)</f>
        <v>#DIV/0!</v>
      </c>
    </row>
    <row r="77" spans="1:2" ht="12.75">
      <c r="A77" s="1"/>
      <c r="B77" s="12"/>
    </row>
    <row r="78" spans="1:3" ht="12.75">
      <c r="A78" s="1" t="s">
        <v>213</v>
      </c>
      <c r="B78" s="6">
        <v>45</v>
      </c>
      <c r="C78" t="s">
        <v>131</v>
      </c>
    </row>
    <row r="79" spans="1:6" ht="12.75">
      <c r="A79" s="1" t="s">
        <v>214</v>
      </c>
      <c r="B79" s="11" t="e">
        <f ca="1">$B$76-(OFFSET(Equipment!$B$13,0,($C$17-1))/2)</f>
        <v>#VALUE!</v>
      </c>
      <c r="C79" t="s">
        <v>208</v>
      </c>
      <c r="F79" s="46" t="e">
        <f ca="1">$B$76-(OFFSET(Equipment!$B$13,0,($C$17-1))/2)</f>
        <v>#VALUE!</v>
      </c>
    </row>
    <row r="80" spans="1:3" ht="12.75">
      <c r="A80" s="1" t="s">
        <v>215</v>
      </c>
      <c r="B80" s="6">
        <v>45</v>
      </c>
      <c r="C80" t="s">
        <v>131</v>
      </c>
    </row>
    <row r="81" spans="1:6" ht="12.75">
      <c r="A81" s="1" t="s">
        <v>216</v>
      </c>
      <c r="B81" s="11" t="e">
        <f>$B$79*((SIN(RADIANS($B$78)))/(SIN(RADIANS($B$80))))</f>
        <v>#VALUE!</v>
      </c>
      <c r="C81" t="s">
        <v>208</v>
      </c>
      <c r="F81" s="46" t="e">
        <f>$B$79*((SIN(RADIANS($B$78)))/(SIN(RADIANS($B$80))))</f>
        <v>#VALUE!</v>
      </c>
    </row>
    <row r="82" spans="1:2" ht="12.75">
      <c r="A82" s="1"/>
      <c r="B82" s="12"/>
    </row>
    <row r="83" spans="1:2" ht="12.75">
      <c r="A83" s="39" t="s">
        <v>217</v>
      </c>
      <c r="B83" s="12"/>
    </row>
    <row r="84" s="39" customFormat="1" ht="12.75">
      <c r="A84" s="39" t="s">
        <v>218</v>
      </c>
    </row>
    <row r="85" s="39" customFormat="1" ht="12.75">
      <c r="A85" t="s">
        <v>219</v>
      </c>
    </row>
    <row r="86" s="39" customFormat="1" ht="12.75">
      <c r="A86" t="s">
        <v>220</v>
      </c>
    </row>
    <row r="87" s="39" customFormat="1" ht="12.75">
      <c r="A87" t="s">
        <v>221</v>
      </c>
    </row>
    <row r="89" spans="2:4" ht="12.75">
      <c r="B89" s="48" t="s">
        <v>222</v>
      </c>
      <c r="C89" s="48" t="s">
        <v>223</v>
      </c>
      <c r="D89" s="48" t="s">
        <v>177</v>
      </c>
    </row>
    <row r="90" spans="2:4" ht="12.75">
      <c r="B90" s="14" t="s">
        <v>181</v>
      </c>
      <c r="C90" s="14" t="s">
        <v>224</v>
      </c>
      <c r="D90" s="50">
        <v>0</v>
      </c>
    </row>
    <row r="91" spans="2:4" ht="12.75">
      <c r="B91" s="14" t="s">
        <v>225</v>
      </c>
      <c r="C91" s="14" t="s">
        <v>226</v>
      </c>
      <c r="D91" s="50">
        <v>1</v>
      </c>
    </row>
    <row r="92" spans="2:4" ht="12.75">
      <c r="B92" s="14" t="s">
        <v>227</v>
      </c>
      <c r="C92" s="14" t="s">
        <v>228</v>
      </c>
      <c r="D92" s="50">
        <v>2</v>
      </c>
    </row>
    <row r="93" spans="2:4" ht="12.75">
      <c r="B93" s="14" t="s">
        <v>188</v>
      </c>
      <c r="C93" s="14" t="s">
        <v>229</v>
      </c>
      <c r="D93" s="50">
        <v>3</v>
      </c>
    </row>
    <row r="95" spans="1:3" ht="12.75">
      <c r="A95" s="1" t="s">
        <v>230</v>
      </c>
      <c r="B95" s="51">
        <v>2</v>
      </c>
      <c r="C95" t="s">
        <v>231</v>
      </c>
    </row>
    <row r="97" ht="12.75">
      <c r="A97" t="s">
        <v>232</v>
      </c>
    </row>
    <row r="99" spans="1:4" ht="12.75">
      <c r="A99" s="1" t="s">
        <v>233</v>
      </c>
      <c r="C99" s="6">
        <v>45</v>
      </c>
      <c r="D99" t="s">
        <v>131</v>
      </c>
    </row>
    <row r="101" ht="12.75">
      <c r="A101" t="s">
        <v>234</v>
      </c>
    </row>
    <row r="102" ht="12.75">
      <c r="I102" s="4" t="s">
        <v>9</v>
      </c>
    </row>
    <row r="103" spans="1:11" s="1" customFormat="1" ht="12.75">
      <c r="A103" s="1" t="s">
        <v>235</v>
      </c>
      <c r="B103" s="52">
        <f>IF($B$95=0,95,IF($B$95=1,90,IF($B$95=2,80,50)))</f>
        <v>80</v>
      </c>
      <c r="C103"/>
      <c r="D103"/>
      <c r="E103"/>
      <c r="F103"/>
      <c r="G103"/>
      <c r="H103"/>
      <c r="I103" s="53">
        <f>IF($B$95=0,95,IF($B$95=1,90,IF($B$95=2,80,50)))</f>
        <v>80</v>
      </c>
      <c r="J103"/>
      <c r="K103"/>
    </row>
    <row r="104" spans="1:9" ht="12.75">
      <c r="A104" s="1" t="s">
        <v>236</v>
      </c>
      <c r="B104" s="52">
        <f>IF($D$37=0,20,IF($D$37=1,10,0))</f>
        <v>10</v>
      </c>
      <c r="I104" s="53">
        <f>IF($D$37=0,20,IF($D$37=1,10,0))</f>
        <v>10</v>
      </c>
    </row>
    <row r="105" spans="1:10" ht="12.75">
      <c r="A105" s="1" t="s">
        <v>237</v>
      </c>
      <c r="B105" s="54" t="e">
        <f>($B$81*$D$105*0.01)/$C$27</f>
        <v>#VALUE!</v>
      </c>
      <c r="C105" t="s">
        <v>139</v>
      </c>
      <c r="D105" s="55">
        <v>20</v>
      </c>
      <c r="E105" t="s">
        <v>238</v>
      </c>
      <c r="I105" s="56" t="e">
        <f>($B$81*$D$105*0.01)/$C$27</f>
        <v>#VALUE!</v>
      </c>
      <c r="J105" s="57"/>
    </row>
    <row r="106" spans="1:9" ht="12.75">
      <c r="A106" s="1" t="s">
        <v>239</v>
      </c>
      <c r="B106" s="52" t="e">
        <f ca="1">IF($C$99&lt;85,ROUND((((OFFSET(Equipment!$B$46,0,$C$25-1)*$D$106*0.001)*$C$27)/(15*$D$31))*(1+TAN(RADIANS($C$99))),1)*1000,"no dice")</f>
        <v>#VALUE!</v>
      </c>
      <c r="C106" t="s">
        <v>240</v>
      </c>
      <c r="D106" s="55">
        <v>5</v>
      </c>
      <c r="E106" t="s">
        <v>241</v>
      </c>
      <c r="I106" s="53" t="e">
        <f ca="1">IF($C$99&lt;85,ROUND((((OFFSET(Equipment!$B$46,0,$C$25-1)*$D$106*0.001)*$C$27)/(15*$D$31))*(1+TAN(RADIANS($C$99))),1)*1000,"no dice")</f>
        <v>#VALUE!</v>
      </c>
    </row>
    <row r="107" spans="1:9" ht="12.75">
      <c r="A107" s="1" t="s">
        <v>242</v>
      </c>
      <c r="B107" s="52" t="e">
        <f>IF(($B$81/$C$27)&gt;3,"3x3",IF(($B$81/$C$27)&gt;2,"2x2","OFF"))</f>
        <v>#VALUE!</v>
      </c>
      <c r="C107" t="s">
        <v>243</v>
      </c>
      <c r="I107" s="53" t="e">
        <f>IF(($B$81/$C$27)&gt;3,"3x3",IF(($B$81/$C$27)&gt;2,"2x2","OFF"))</f>
        <v>#VALUE!</v>
      </c>
    </row>
    <row r="109" ht="12.75">
      <c r="A109" t="s">
        <v>244</v>
      </c>
    </row>
    <row r="110" ht="12.75">
      <c r="A110" t="s">
        <v>245</v>
      </c>
    </row>
    <row r="111" ht="12.75">
      <c r="A111" t="s">
        <v>246</v>
      </c>
    </row>
    <row r="113" ht="12.75">
      <c r="A113" t="s">
        <v>247</v>
      </c>
    </row>
    <row r="114" ht="12.75">
      <c r="A114" t="s">
        <v>248</v>
      </c>
    </row>
    <row r="115" ht="12.75">
      <c r="A115" t="s">
        <v>249</v>
      </c>
    </row>
    <row r="116" ht="12.75">
      <c r="A116" t="s">
        <v>250</v>
      </c>
    </row>
    <row r="117" ht="12.75">
      <c r="A117" t="s">
        <v>251</v>
      </c>
    </row>
    <row r="118" ht="12.75">
      <c r="A118" t="s">
        <v>252</v>
      </c>
    </row>
    <row r="119" ht="12.75">
      <c r="I119" s="4" t="s">
        <v>9</v>
      </c>
    </row>
    <row r="120" spans="1:9" ht="12.75">
      <c r="A120" s="1" t="s">
        <v>253</v>
      </c>
      <c r="B120" s="58">
        <f ca="1">OFFSET($B$166,$B$95,$D$37)</f>
        <v>3</v>
      </c>
      <c r="C120" t="s">
        <v>254</v>
      </c>
      <c r="I120" s="36">
        <f ca="1">OFFSET($B$166,$B$95,$D$37)</f>
        <v>3</v>
      </c>
    </row>
    <row r="121" spans="1:11" s="1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1" customFormat="1" ht="12.75">
      <c r="A122" t="s">
        <v>255</v>
      </c>
      <c r="B122"/>
      <c r="C122"/>
      <c r="D122"/>
      <c r="E122"/>
      <c r="F122"/>
      <c r="G122"/>
      <c r="H122"/>
      <c r="I122"/>
      <c r="J122"/>
      <c r="K122"/>
    </row>
    <row r="123" ht="12.75">
      <c r="A123" t="s">
        <v>256</v>
      </c>
    </row>
    <row r="124" ht="12.75">
      <c r="A124" t="s">
        <v>257</v>
      </c>
    </row>
    <row r="125" ht="12.75">
      <c r="A125" t="s">
        <v>258</v>
      </c>
    </row>
    <row r="126" ht="12.75">
      <c r="A126" t="s">
        <v>259</v>
      </c>
    </row>
    <row r="127" ht="12.75">
      <c r="A127" t="s">
        <v>260</v>
      </c>
    </row>
    <row r="128" ht="12.75">
      <c r="A128" t="s">
        <v>261</v>
      </c>
    </row>
    <row r="129" ht="12.75">
      <c r="A129" t="s">
        <v>262</v>
      </c>
    </row>
    <row r="130" ht="12.75">
      <c r="A130" t="s">
        <v>263</v>
      </c>
    </row>
    <row r="131" ht="12.75">
      <c r="A131" t="s">
        <v>264</v>
      </c>
    </row>
    <row r="132" ht="12.75">
      <c r="A132" t="s">
        <v>265</v>
      </c>
    </row>
    <row r="133" ht="12.75">
      <c r="A133" t="s">
        <v>266</v>
      </c>
    </row>
    <row r="134" ht="12.75">
      <c r="A134" t="s">
        <v>267</v>
      </c>
    </row>
    <row r="135" ht="12.75">
      <c r="A135" t="s">
        <v>268</v>
      </c>
    </row>
    <row r="136" ht="12.75">
      <c r="A136" t="s">
        <v>269</v>
      </c>
    </row>
    <row r="137" ht="12.75">
      <c r="A137" t="s">
        <v>270</v>
      </c>
    </row>
    <row r="138" ht="12.75">
      <c r="A138" t="s">
        <v>271</v>
      </c>
    </row>
    <row r="139" ht="12.75">
      <c r="A139" t="s">
        <v>272</v>
      </c>
    </row>
    <row r="140" ht="12.75">
      <c r="A140" t="s">
        <v>273</v>
      </c>
    </row>
    <row r="141" ht="12.75">
      <c r="A141" t="s">
        <v>274</v>
      </c>
    </row>
    <row r="143" ht="12.75">
      <c r="A143" t="s">
        <v>275</v>
      </c>
    </row>
    <row r="144" ht="12.75">
      <c r="A144" t="s">
        <v>276</v>
      </c>
    </row>
    <row r="145" ht="12.75">
      <c r="A145" t="s">
        <v>277</v>
      </c>
    </row>
    <row r="146" ht="12.75">
      <c r="A146" t="s">
        <v>278</v>
      </c>
    </row>
    <row r="147" ht="12.75">
      <c r="A147" t="s">
        <v>279</v>
      </c>
    </row>
    <row r="148" ht="12.75">
      <c r="A148" t="s">
        <v>280</v>
      </c>
    </row>
    <row r="149" ht="12.75">
      <c r="A149" t="s">
        <v>281</v>
      </c>
    </row>
    <row r="151" spans="1:2" ht="12.75">
      <c r="A151" s="1" t="s">
        <v>203</v>
      </c>
      <c r="B151" t="s">
        <v>204</v>
      </c>
    </row>
    <row r="152" spans="1:7" ht="12.75">
      <c r="A152" s="1" t="s">
        <v>282</v>
      </c>
      <c r="B152" s="6"/>
      <c r="C152" t="s">
        <v>283</v>
      </c>
      <c r="G152" s="4" t="s">
        <v>9</v>
      </c>
    </row>
    <row r="153" spans="1:7" ht="12.75">
      <c r="A153" s="1" t="s">
        <v>284</v>
      </c>
      <c r="B153" s="11" t="e">
        <f>B152*$C$27</f>
        <v>#VALUE!</v>
      </c>
      <c r="C153" t="s">
        <v>208</v>
      </c>
      <c r="G153" s="46" t="e">
        <f>G152*$C$27</f>
        <v>#VALUE!</v>
      </c>
    </row>
    <row r="155" spans="1:2" ht="12.75">
      <c r="A155" s="1" t="s">
        <v>285</v>
      </c>
      <c r="B155" t="s">
        <v>286</v>
      </c>
    </row>
    <row r="156" spans="2:7" ht="12.75">
      <c r="B156" s="11" t="e">
        <f>($C$27/Imaging!$B$26)*$B$152</f>
        <v>#VALUE!</v>
      </c>
      <c r="C156" t="s">
        <v>139</v>
      </c>
      <c r="G156" s="46" t="e">
        <f>($C$27/Imaging!$B$26)*$B$152</f>
        <v>#VALUE!</v>
      </c>
    </row>
    <row r="158" spans="1:5" ht="12.75">
      <c r="A158" s="1" t="s">
        <v>145</v>
      </c>
      <c r="B158" s="12" t="s">
        <v>287</v>
      </c>
      <c r="C158" s="12"/>
      <c r="D158" s="12"/>
      <c r="E158" s="12"/>
    </row>
    <row r="161" spans="1:2" ht="12.75">
      <c r="A161" t="s">
        <v>288</v>
      </c>
      <c r="B161" t="s">
        <v>289</v>
      </c>
    </row>
    <row r="162" ht="12.75">
      <c r="B162" t="s">
        <v>290</v>
      </c>
    </row>
    <row r="163" ht="12.75">
      <c r="B163" t="s">
        <v>291</v>
      </c>
    </row>
    <row r="165" spans="1:4" ht="12.75">
      <c r="A165" s="1" t="s">
        <v>292</v>
      </c>
      <c r="B165" s="1" t="s">
        <v>293</v>
      </c>
      <c r="C165" s="1" t="s">
        <v>294</v>
      </c>
      <c r="D165" s="1" t="s">
        <v>295</v>
      </c>
    </row>
    <row r="166" spans="1:4" ht="12.75">
      <c r="A166" s="1" t="s">
        <v>293</v>
      </c>
      <c r="B166" s="24">
        <v>3</v>
      </c>
      <c r="C166" s="24">
        <v>2</v>
      </c>
      <c r="D166" s="24">
        <v>1</v>
      </c>
    </row>
    <row r="167" spans="1:4" ht="12.75">
      <c r="A167" s="1" t="s">
        <v>296</v>
      </c>
      <c r="B167" s="24">
        <v>4</v>
      </c>
      <c r="C167" s="24">
        <v>2</v>
      </c>
      <c r="D167" s="24">
        <v>1</v>
      </c>
    </row>
    <row r="168" spans="1:4" ht="12.75">
      <c r="A168" s="1" t="s">
        <v>297</v>
      </c>
      <c r="B168" s="24">
        <v>5</v>
      </c>
      <c r="C168" s="24">
        <v>3</v>
      </c>
      <c r="D168" s="24">
        <v>2</v>
      </c>
    </row>
    <row r="169" spans="1:4" ht="12.75">
      <c r="A169" s="1" t="s">
        <v>298</v>
      </c>
      <c r="B169" s="24">
        <v>6</v>
      </c>
      <c r="C169" s="24">
        <v>4</v>
      </c>
      <c r="D169" s="24">
        <v>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Marshall</dc:creator>
  <cp:keywords/>
  <dc:description/>
  <cp:lastModifiedBy>Greg Marshall</cp:lastModifiedBy>
  <dcterms:created xsi:type="dcterms:W3CDTF">2012-12-07T03:06:13Z</dcterms:created>
  <dcterms:modified xsi:type="dcterms:W3CDTF">2012-12-18T09:57:42Z</dcterms:modified>
  <cp:category/>
  <cp:version/>
  <cp:contentType/>
  <cp:contentStatus/>
  <cp:revision>128</cp:revision>
</cp:coreProperties>
</file>